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C346-2017s2" sheetId="1" state="visible" r:id="rId2"/>
    <sheet name="Prova Prolog" sheetId="2" state="visible" r:id="rId3"/>
    <sheet name="Prova Haskell" sheetId="3" state="visible" r:id="rId4"/>
    <sheet name="Prova Python" sheetId="4" state="visible" r:id="rId5"/>
    <sheet name="Exame" sheetId="5" state="visible" r:id="rId6"/>
    <sheet name="Desafio Prolog" sheetId="6" state="visible" r:id="rId7"/>
    <sheet name="Desafio Haskell" sheetId="7" state="visible" r:id="rId8"/>
    <sheet name="Desafio Python" sheetId="8" state="visible" r:id="rId9"/>
    <sheet name="MC346A" sheetId="9" state="visible" r:id="rId10"/>
  </sheets>
  <definedNames>
    <definedName function="false" hidden="false" name="_xlfnodf.DAYS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<sst xmlns="http://schemas.openxmlformats.org/spreadsheetml/2006/main" count="490" uniqueCount="261">
  <si>
    <t xml:space="preserve">MC346A-2017s2</t>
  </si>
  <si>
    <t xml:space="preserve">Valores em verde/vermelho são apenas ESTIMATIVAS</t>
  </si>
  <si>
    <t xml:space="preserve">Prova Prolog</t>
  </si>
  <si>
    <t xml:space="preserve">Prova Haskell</t>
  </si>
  <si>
    <t xml:space="preserve">Prova Python</t>
  </si>
  <si>
    <t xml:space="preserve">Projeto Prolog</t>
  </si>
  <si>
    <t xml:space="preserve">Projeto Haskell</t>
  </si>
  <si>
    <t xml:space="preserve">Projeto Python</t>
  </si>
  <si>
    <t xml:space="preserve">Nota Prolog</t>
  </si>
  <si>
    <t xml:space="preserve">Nota Haskell</t>
  </si>
  <si>
    <t xml:space="preserve">Nota Python</t>
  </si>
  <si>
    <t xml:space="preserve">Nota Aproveit.</t>
  </si>
  <si>
    <t xml:space="preserve">Exame</t>
  </si>
  <si>
    <t xml:space="preserve">Nota Final</t>
  </si>
  <si>
    <t xml:space="preserve">Resultado</t>
  </si>
  <si>
    <t xml:space="preserve">Numero</t>
  </si>
  <si>
    <t xml:space="preserve">RA</t>
  </si>
  <si>
    <t xml:space="preserve">Nome</t>
  </si>
  <si>
    <t xml:space="preserve">Curso</t>
  </si>
  <si>
    <t xml:space="preserve">N</t>
  </si>
  <si>
    <t xml:space="preserve">M</t>
  </si>
  <si>
    <t xml:space="preserve">PePr</t>
  </si>
  <si>
    <t xml:space="preserve">PeH</t>
  </si>
  <si>
    <t xml:space="preserve">PePy</t>
  </si>
  <si>
    <t xml:space="preserve">PrPr</t>
  </si>
  <si>
    <t xml:space="preserve">PrH</t>
  </si>
  <si>
    <t xml:space="preserve">PrPy</t>
  </si>
  <si>
    <t xml:space="preserve">NPr</t>
  </si>
  <si>
    <t xml:space="preserve">NH</t>
  </si>
  <si>
    <t xml:space="preserve">NPy</t>
  </si>
  <si>
    <t xml:space="preserve">NA</t>
  </si>
  <si>
    <t xml:space="preserve">NE</t>
  </si>
  <si>
    <t xml:space="preserve">NF</t>
  </si>
  <si>
    <t xml:space="preserve">Exemplo</t>
  </si>
  <si>
    <t xml:space="preserve">aprovado</t>
  </si>
  <si>
    <t xml:space="preserve">reprovado</t>
  </si>
  <si>
    <t xml:space="preserve">repr.faltas</t>
  </si>
  <si>
    <t xml:space="preserve">Crs</t>
  </si>
  <si>
    <t xml:space="preserve">Nív</t>
  </si>
  <si>
    <t xml:space="preserve">Q1</t>
  </si>
  <si>
    <t xml:space="preserve">Q2</t>
  </si>
  <si>
    <t xml:space="preserve">Q3</t>
  </si>
  <si>
    <t xml:space="preserve">Q4</t>
  </si>
  <si>
    <t xml:space="preserve">Total</t>
  </si>
  <si>
    <t xml:space="preserve">Média</t>
  </si>
  <si>
    <t xml:space="preserve">Soma</t>
  </si>
  <si>
    <t xml:space="preserve">Compareceram</t>
  </si>
  <si>
    <t xml:space="preserve">Desvio padrão</t>
  </si>
  <si>
    <t xml:space="preserve">Prova python</t>
  </si>
  <si>
    <t xml:space="preserve">MC346 / 2017s2 / Projeto Prolog</t>
  </si>
  <si>
    <t xml:space="preserve">Preliminar</t>
  </si>
  <si>
    <t xml:space="preserve">Lances</t>
  </si>
  <si>
    <t xml:space="preserve">Tempo</t>
  </si>
  <si>
    <t xml:space="preserve">Data/Hora sumbissão</t>
  </si>
  <si>
    <t xml:space="preserve">Estilo</t>
  </si>
  <si>
    <t xml:space="preserve">Correção</t>
  </si>
  <si>
    <t xml:space="preserve">LogSize</t>
  </si>
  <si>
    <t xml:space="preserve">P/ Jogo</t>
  </si>
  <si>
    <t xml:space="preserve">N.Lance</t>
  </si>
  <si>
    <t xml:space="preserve">por jogo</t>
  </si>
  <si>
    <t xml:space="preserve">N.Tempo</t>
  </si>
  <si>
    <t xml:space="preserve">Rec.Erro</t>
  </si>
  <si>
    <t xml:space="preserve">N.Bruta</t>
  </si>
  <si>
    <t xml:space="preserve">Atraso</t>
  </si>
  <si>
    <t xml:space="preserve">Nota</t>
  </si>
  <si>
    <t xml:space="preserve">Obs</t>
  </si>
  <si>
    <t xml:space="preserve">instrutor</t>
  </si>
  <si>
    <t xml:space="preserve">comentários de predicados, apenas</t>
  </si>
  <si>
    <t xml:space="preserve">bom código</t>
  </si>
  <si>
    <t xml:space="preserve">modularizado, comments</t>
  </si>
  <si>
    <t xml:space="preserve">bons comentários; knuth</t>
  </si>
  <si>
    <t xml:space="preserve">bons comentários; código curto</t>
  </si>
  <si>
    <t xml:space="preserve">não lida bem com erro; loop infinito?</t>
  </si>
  <si>
    <t xml:space="preserve">Ainda dá pau no meio do jogo; trava</t>
  </si>
  <si>
    <t xml:space="preserve">“ganhei” em vez de 'ganhei'; não lida com erro</t>
  </si>
  <si>
    <t xml:space="preserve">programa simples; primeira linha não era #!</t>
  </si>
  <si>
    <t xml:space="preserve">código longo e confuso</t>
  </si>
  <si>
    <t xml:space="preserve">write chute sem nl; se confunde com erro; Ganhei</t>
  </si>
  <si>
    <t xml:space="preserve">nada de comments</t>
  </si>
  <si>
    <t xml:space="preserve">Comentários decentes, bom estilo, mas algo inline</t>
  </si>
  <si>
    <t xml:space="preserve">appendAll fixo; sem nl após ‘ganhei’</t>
  </si>
  <si>
    <t xml:space="preserve">nada de comments; printa “Ganhei!”; sem nl após chute</t>
  </si>
  <si>
    <t xml:space="preserve">bons comentários; código organizado</t>
  </si>
  <si>
    <t xml:space="preserve">simples, poucos comentários; erro de sintaxe</t>
  </si>
  <si>
    <t xml:space="preserve">play() com argumento?</t>
  </si>
  <si>
    <t xml:space="preserve">linhas longas, play()</t>
  </si>
  <si>
    <t xml:space="preserve">não respeitou formato c/ play</t>
  </si>
  <si>
    <t xml:space="preserve">comentou, trocou play por resolve</t>
  </si>
  <si>
    <t xml:space="preserve">bons comentários</t>
  </si>
  <si>
    <t xml:space="preserve">loop no 4022</t>
  </si>
  <si>
    <t xml:space="preserve">linhas longas, prog. denso; lento mas vai</t>
  </si>
  <si>
    <t xml:space="preserve">trava se as respostas são incoerentes</t>
  </si>
  <si>
    <t xml:space="preserve">dá pau com respostas [0,1]</t>
  </si>
  <si>
    <t xml:space="preserve">honesto, simples, ineficiente mas faz o trabalho</t>
  </si>
  <si>
    <t xml:space="preserve">Muito rápido, mas não conseguiu acertar todas</t>
  </si>
  <si>
    <t xml:space="preserve">comentários, mas faltou #!; deu muito erro</t>
  </si>
  <si>
    <t xml:space="preserve">todas as senhas inline; linhas longas; ganhei c/ '.'</t>
  </si>
  <si>
    <t xml:space="preserve">bem curto, possibilidades inline; não retorna 1346</t>
  </si>
  <si>
    <t xml:space="preserve">não tem comentários; indentado</t>
  </si>
  <si>
    <t xml:space="preserve">muitos lances e não acerta; “Erro” em vez de “erro”</t>
  </si>
  <si>
    <t xml:space="preserve">singleton vars; duplo 'ganhei'</t>
  </si>
  <si>
    <t xml:space="preserve">bem comentado</t>
  </si>
  <si>
    <t xml:space="preserve">ótimos comentários</t>
  </si>
  <si>
    <t xml:space="preserve">bom estilo; trava às vezes; imprime “errado”</t>
  </si>
  <si>
    <t xml:space="preserve">mudou especificação</t>
  </si>
  <si>
    <t xml:space="preserve">funtores? É predicados! Não lida bem com erro.</t>
  </si>
  <si>
    <t xml:space="preserve">MC346 / 2017s2 / Projeto Haskell</t>
  </si>
  <si>
    <t xml:space="preserve">Ganhei</t>
  </si>
  <si>
    <t xml:space="preserve">bom estilo funcional; poucos coments.</t>
  </si>
  <si>
    <t xml:space="preserve">bom código, uma ou duas linhas longas</t>
  </si>
  <si>
    <t xml:space="preserve">modular, bons comentários, limpo</t>
  </si>
  <si>
    <t xml:space="preserve">bom programa, repetição de código</t>
  </si>
  <si>
    <t xml:space="preserve">grande domínio da linguagem</t>
  </si>
  <si>
    <t xml:space="preserve">bom código; linhas compridas demais</t>
  </si>
  <si>
    <t xml:space="preserve">Bem comentado, usa todos os chutes; 'where' redundante; booleano complicado</t>
  </si>
  <si>
    <t xml:space="preserve">muita redundância, linhas compridas</t>
  </si>
  <si>
    <t xml:space="preserve">linhas muito longas, permuts inline, redundância código, bons comentários</t>
  </si>
  <si>
    <t xml:space="preserve">comentários discrepantes, repetição de código, estratégia fraca</t>
  </si>
  <si>
    <t xml:space="preserve">Bons comments, filtro ineficiente; nomes de funções</t>
  </si>
  <si>
    <t xml:space="preserve">linhas compridas</t>
  </si>
  <si>
    <t xml:space="preserve">eficiente, poucos comentários</t>
  </si>
  <si>
    <t xml:space="preserve">código simples, inteligível, linhas longas</t>
  </si>
  <si>
    <t xml:space="preserve">programa enxuto, linhas compridas</t>
  </si>
  <si>
    <t xml:space="preserve">erros port., redundância, linhas longas, print espúrio</t>
  </si>
  <si>
    <t xml:space="preserve">pesquisou literatura</t>
  </si>
  <si>
    <t xml:space="preserve">linhas longas</t>
  </si>
  <si>
    <t xml:space="preserve">belo código</t>
  </si>
  <si>
    <t xml:space="preserve">complexo demais, boas explicações</t>
  </si>
  <si>
    <t xml:space="preserve">bons comentários, inglês precisa correção</t>
  </si>
  <si>
    <t xml:space="preserve">faltaram linhas em branco, honesto quanto a ajuda, redundância</t>
  </si>
  <si>
    <t xml:space="preserve">linhas compridas, fora isso bom</t>
  </si>
  <si>
    <t xml:space="preserve">bons comentários, código ok</t>
  </si>
  <si>
    <t xml:space="preserve">linhas comprida, poucos comentários, funções redundantes, usa 0</t>
  </si>
  <si>
    <t xml:space="preserve">código limpo, comentários úteis</t>
  </si>
  <si>
    <t xml:space="preserve">comentários mas críptico. Não entendi nada</t>
  </si>
  <si>
    <t xml:space="preserve">permutações inline, código complexo demais para score</t>
  </si>
  <si>
    <t xml:space="preserve">linhas compridas, redundância</t>
  </si>
  <si>
    <t xml:space="preserve">código curto, bem comentado; código legado deixado</t>
  </si>
  <si>
    <t xml:space="preserve">linhas compridas, alguma redundância</t>
  </si>
  <si>
    <t xml:space="preserve">prolixo, boolean fraco</t>
  </si>
  <si>
    <t xml:space="preserve">não tem assinaturas; booleano complicado</t>
  </si>
  <si>
    <t xml:space="preserve">bons comentários, ideia original</t>
  </si>
  <si>
    <t xml:space="preserve">estatísticas, redundância, linhas compridas</t>
  </si>
  <si>
    <t xml:space="preserve">código honesto, embora ineficiente</t>
  </si>
  <si>
    <t xml:space="preserve">redundância, linhas longas</t>
  </si>
  <si>
    <t xml:space="preserve">bons comentários; 'answer' desnecessária</t>
  </si>
  <si>
    <t xml:space="preserve">MC346 / 2017s2 / Grades</t>
  </si>
  <si>
    <t xml:space="preserve">Tentative</t>
  </si>
  <si>
    <t xml:space="preserve">poucos comentários, força bruta</t>
  </si>
  <si>
    <t xml:space="preserve">classes, alguma redundância, python2.7</t>
  </si>
  <si>
    <t xml:space="preserve">classes, minimax choice</t>
  </si>
  <si>
    <t xml:space="preserve">código brilhante, bons comentários</t>
  </si>
  <si>
    <t xml:space="preserve">exagerou nas classes</t>
  </si>
  <si>
    <t xml:space="preserve">bem organizado,linhas longas</t>
  </si>
  <si>
    <t xml:space="preserve">enxuto, mas com linhas muito longas, print de python2</t>
  </si>
  <si>
    <t xml:space="preserve">linhas longas, estratégia dúbia, redumdância</t>
  </si>
  <si>
    <t xml:space="preserve">linhas longas, funções mais complexas do que deveriam ser, pseudo-aleatoriedade ruim</t>
  </si>
  <si>
    <t xml:space="preserve">globais, linhas longas, código denso</t>
  </si>
  <si>
    <t xml:space="preserve">linhas longas, booleano, comentários enganosos</t>
  </si>
  <si>
    <t xml:space="preserve">linhas longas, redundãncia</t>
  </si>
  <si>
    <t xml:space="preserve">redundância: while/break</t>
  </si>
  <si>
    <t xml:space="preserve">linhas longas, boins comentários</t>
  </si>
  <si>
    <t xml:space="preserve">linhas longas, sys.exit()</t>
  </si>
  <si>
    <t xml:space="preserve">código complexo demais</t>
  </si>
  <si>
    <t xml:space="preserve">Erros de sintaxe, linhas longas, comentários em mlinhas e não em blocos, não tem funções</t>
  </si>
  <si>
    <t xml:space="preserve">bom código, um pouco prolico</t>
  </si>
  <si>
    <t xml:space="preserve">bom código, limpo</t>
  </si>
  <si>
    <t xml:space="preserve">código direto e bom</t>
  </si>
  <si>
    <t xml:space="preserve">linhas, longas, enxuto, um pouco redundante</t>
  </si>
  <si>
    <t xml:space="preserve">trehco longo, linhas longas,. Scores inline,</t>
  </si>
  <si>
    <t xml:space="preserve">bons comentários, programa curto, bom</t>
  </si>
  <si>
    <t xml:space="preserve">linhas longas, enxuto</t>
  </si>
  <si>
    <t xml:space="preserve">linhas longas, booleano, classes, um pouco prolixo</t>
  </si>
  <si>
    <t xml:space="preserve">linhas longas, fora isso ok</t>
  </si>
  <si>
    <t xml:space="preserve">bom código, comentários, elegância</t>
  </si>
  <si>
    <t xml:space="preserve">linhas longas, código inline, funções pequenas</t>
  </si>
  <si>
    <t xml:space="preserve">faltou python3, linhas longas, score inline</t>
  </si>
  <si>
    <t xml:space="preserve">enxuto, linha longa</t>
  </si>
  <si>
    <t xml:space="preserve">linhas longas, globals unnecessary</t>
  </si>
  <si>
    <t xml:space="preserve">não script, parece ineficiente, linhas longas</t>
  </si>
  <si>
    <t xml:space="preserve">ótimo código</t>
  </si>
  <si>
    <t xml:space="preserve">bom código, enxuto,bons comentários, um pouco artificial às vezes</t>
  </si>
  <si>
    <t xml:space="preserve">fez classe, bons comentários</t>
  </si>
  <si>
    <t xml:space="preserve">classes, decente; comentário inicial parece de Prolog</t>
  </si>
  <si>
    <t xml:space="preserve">função longa demais, linhas longas, globais</t>
  </si>
  <si>
    <t xml:space="preserve">linhas longas, comentários cansativos, prolixo</t>
  </si>
  <si>
    <t xml:space="preserve">linhas muito longas, bons comentários</t>
  </si>
  <si>
    <t xml:space="preserve">Nivel</t>
  </si>
  <si>
    <t xml:space="preserve">Modalidade</t>
  </si>
  <si>
    <t xml:space="preserve">André Guaraldo                          </t>
  </si>
  <si>
    <t xml:space="preserve">G</t>
  </si>
  <si>
    <t xml:space="preserve">  </t>
  </si>
  <si>
    <t xml:space="preserve">André Seiji Tamanaha                    </t>
  </si>
  <si>
    <t xml:space="preserve">AA</t>
  </si>
  <si>
    <t xml:space="preserve">Guilherme Bighetti Platzeck             </t>
  </si>
  <si>
    <t xml:space="preserve">Pedro Gabriel Calixto Mendonça          </t>
  </si>
  <si>
    <t xml:space="preserve">AB</t>
  </si>
  <si>
    <t xml:space="preserve">Tiago Lobato Gimenes                    </t>
  </si>
  <si>
    <t xml:space="preserve">Guilherme Costa Zanelato                </t>
  </si>
  <si>
    <t xml:space="preserve">João Víctor Chencci Marques             </t>
  </si>
  <si>
    <t xml:space="preserve">MC346A.D3=</t>
  </si>
  <si>
    <t xml:space="preserve">Fellipe Santiago Scarpa Caetano         </t>
  </si>
  <si>
    <t xml:space="preserve">Guilherme Santos Pereira                </t>
  </si>
  <si>
    <t xml:space="preserve">Larissa Dominique Garcia                </t>
  </si>
  <si>
    <t xml:space="preserve">Tiago Bento Fernandes                   </t>
  </si>
  <si>
    <t xml:space="preserve">Lucas Piscello Cosme                    </t>
  </si>
  <si>
    <t xml:space="preserve">Luiz Antonio Andia                      </t>
  </si>
  <si>
    <t xml:space="preserve">Bruno Eiji Okano Yoshida                </t>
  </si>
  <si>
    <t xml:space="preserve">Caio Cerruti Gonçalves                  </t>
  </si>
  <si>
    <t xml:space="preserve">Daniel dos Santos Pedroso               </t>
  </si>
  <si>
    <t xml:space="preserve">Felipe Soares Pires de Carvalho         </t>
  </si>
  <si>
    <t xml:space="preserve">Flavio Matheus Muniz Ribeiro da Silva   </t>
  </si>
  <si>
    <t xml:space="preserve">Guilherme Pereira Gribeler              </t>
  </si>
  <si>
    <t xml:space="preserve">Guilherme Rodrigues Bueno               </t>
  </si>
  <si>
    <t xml:space="preserve">Heitor Banhete Raymundo                 </t>
  </si>
  <si>
    <t xml:space="preserve">Julio Barros de Paula                   </t>
  </si>
  <si>
    <t xml:space="preserve">Mateus Augusto Bellomo Agrello Ruivo    </t>
  </si>
  <si>
    <t xml:space="preserve">Wilson Novais Martins                   </t>
  </si>
  <si>
    <t xml:space="preserve">Bruno Masetto Sander                    </t>
  </si>
  <si>
    <t xml:space="preserve">Tiago Abreu Munarolo                    </t>
  </si>
  <si>
    <t xml:space="preserve">Denis de Almeida Oliveira               </t>
  </si>
  <si>
    <t xml:space="preserve">Gabriel Otero                           </t>
  </si>
  <si>
    <t xml:space="preserve">Felipe dal Mas Eulalio                  </t>
  </si>
  <si>
    <t xml:space="preserve">Gunter Mingato de Oliveira              </t>
  </si>
  <si>
    <t xml:space="preserve">João Víctor Brazileu Spuri              </t>
  </si>
  <si>
    <t xml:space="preserve">Jose Henrique Ferreira Pinto            </t>
  </si>
  <si>
    <t xml:space="preserve">Lucas Gabriel Silverio de Freitas       </t>
  </si>
  <si>
    <t xml:space="preserve">AX</t>
  </si>
  <si>
    <t xml:space="preserve">Lucas Rodolfo de Castro Moura           </t>
  </si>
  <si>
    <t xml:space="preserve">Pedro Gabriel Martins Ono               </t>
  </si>
  <si>
    <t xml:space="preserve">Victor Fontana Saez                     </t>
  </si>
  <si>
    <t xml:space="preserve">Guilherme Furlan                        </t>
  </si>
  <si>
    <t xml:space="preserve">Andreza Aparecida dos Santos            </t>
  </si>
  <si>
    <t xml:space="preserve">Artur Eiji Suguinoshita Aciole          </t>
  </si>
  <si>
    <t xml:space="preserve">Beatriz Inácio dos Santos               </t>
  </si>
  <si>
    <t xml:space="preserve">Clara Pompeu de Sousa Brasil Carneiro   </t>
  </si>
  <si>
    <t xml:space="preserve">Daniel Godoy Marques                    </t>
  </si>
  <si>
    <t xml:space="preserve">Daniel Pereira Rodrigues                </t>
  </si>
  <si>
    <t xml:space="preserve">Gabriela Pereira Neri                   </t>
  </si>
  <si>
    <t xml:space="preserve">Guilherme Alves Valarini                </t>
  </si>
  <si>
    <t xml:space="preserve">Henrique Machado Gonçalves              </t>
  </si>
  <si>
    <t xml:space="preserve">Igor Matheus Andrade Torrente           </t>
  </si>
  <si>
    <t xml:space="preserve">Italo Nicola Ponce Pasini Judice Neto   </t>
  </si>
  <si>
    <t xml:space="preserve">João Victor Fernandes Silva             </t>
  </si>
  <si>
    <t xml:space="preserve">Leila Pompeu Zwanziger                  </t>
  </si>
  <si>
    <t xml:space="preserve">Leonardo Maldonado Pagnez               </t>
  </si>
  <si>
    <t xml:space="preserve">Luara Peres Oliveira da Silva           </t>
  </si>
  <si>
    <t xml:space="preserve">Lucas Brito Ferreira Matos              </t>
  </si>
  <si>
    <t xml:space="preserve">Lucas Cunha Agustini                    </t>
  </si>
  <si>
    <t xml:space="preserve">Marcus Danilo Leite Rodrigues           </t>
  </si>
  <si>
    <t xml:space="preserve">Marina Miranda Aranha                   </t>
  </si>
  <si>
    <t xml:space="preserve">Miguel Augusto Silva Guida              </t>
  </si>
  <si>
    <t xml:space="preserve">Pedro Hideaki Uiechi Chinen             </t>
  </si>
  <si>
    <t xml:space="preserve">Pedro Stramantinoli Pires Cagliume Gomes</t>
  </si>
  <si>
    <t xml:space="preserve">Rafael Bueno Lamarques Alves            </t>
  </si>
  <si>
    <t xml:space="preserve">Rafael Eiki Matheus Imamura             </t>
  </si>
  <si>
    <t xml:space="preserve">Samuel Felipe Chenatti                  </t>
  </si>
  <si>
    <t xml:space="preserve">Thomas Jun Yamasaki                     </t>
  </si>
  <si>
    <t xml:space="preserve">Victor Luccas Soares Villas Boas Antunes</t>
  </si>
  <si>
    <t xml:space="preserve">Vinícius Balbino de Souza               </t>
  </si>
  <si>
    <t xml:space="preserve">Ricardo Dirani                         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</si>
</sst>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@"/>
    <numFmt numFmtId="167" formatCode="0.00"/>
    <numFmt numFmtId="168" formatCode="#,##0.00"/>
    <numFmt numFmtId="169" formatCode="0.0000"/>
    <numFmt numFmtId="170" formatCode="DD/MM/YY\ HH:MM"/>
    <numFmt numFmtId="171" formatCode="#,##0"/>
    <numFmt numFmtId="172" formatCode="0"/>
    <numFmt numFmtId="173" formatCode="#,##0.000"/>
    <numFmt numFmtId="174" formatCode="#,##0.0"/>
    <numFmt numFmtId="175" formatCode="0.00%"/>
    <numFmt numFmtId="176" formatCode="#,##0.00;[RED]\-#,##0.0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6666FF"/>
      <name val="Arial"/>
      <family val="2"/>
      <charset val="1"/>
    </font>
    <font>
      <sz val="10"/>
      <color rgb="FF3333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3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name val="Arial"/>
        <charset val="1"/>
        <family val="2"/>
        <b val="0"/>
        <i val="0"/>
        <color rgb="FFCC0000"/>
      </font>
      <fill>
        <patternFill>
          <bgColor rgb="FFFFCCCC"/>
        </patternFill>
      </fill>
    </dxf>
    <dxf>
      <font>
        <name val="Arial"/>
        <charset val="1"/>
        <family val="2"/>
        <b val="0"/>
        <i val="0"/>
        <color rgb="FF006600"/>
      </font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2" topLeftCell="E51" activePane="bottomRight" state="frozen"/>
      <selection pane="topLeft" activeCell="A1" activeCellId="0" sqref="A1"/>
      <selection pane="topRight" activeCell="E1" activeCellId="0" sqref="E1"/>
      <selection pane="bottomLeft" activeCell="A51" activeCellId="0" sqref="A51"/>
      <selection pane="bottomRight" activeCell="R64" activeCellId="0" sqref="R64"/>
    </sheetView>
  </sheetViews>
  <sheetFormatPr defaultRowHeight="12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.8"/>
    <col collapsed="false" customWidth="true" hidden="false" outlineLevel="0" max="3" min="3" style="1" width="31.45"/>
    <col collapsed="false" customWidth="true" hidden="false" outlineLevel="0" max="4" min="4" style="2" width="6.35"/>
    <col collapsed="false" customWidth="true" hidden="false" outlineLevel="0" max="5" min="5" style="2" width="2.92"/>
    <col collapsed="false" customWidth="true" hidden="false" outlineLevel="0" max="6" min="6" style="2" width="3.51"/>
    <col collapsed="false" customWidth="true" hidden="false" outlineLevel="0" max="9" min="7" style="1" width="6.08"/>
    <col collapsed="false" customWidth="true" hidden="false" outlineLevel="0" max="10" min="10" style="1" width="5.55"/>
    <col collapsed="false" customWidth="true" hidden="false" outlineLevel="0" max="12" min="11" style="1" width="6.08"/>
    <col collapsed="false" customWidth="true" hidden="false" outlineLevel="0" max="13" min="13" style="2" width="6.08"/>
    <col collapsed="false" customWidth="true" hidden="false" outlineLevel="0" max="15" min="14" style="2" width="6.35"/>
    <col collapsed="false" customWidth="true" hidden="false" outlineLevel="0" max="16" min="16" style="1" width="6.35"/>
    <col collapsed="false" customWidth="true" hidden="false" outlineLevel="0" max="17" min="17" style="2" width="6.08"/>
    <col collapsed="false" customWidth="true" hidden="false" outlineLevel="0" max="18" min="18" style="1" width="6.08"/>
    <col collapsed="false" customWidth="true" hidden="false" outlineLevel="0" max="19" min="19" style="1" width="8.79"/>
    <col collapsed="false" customWidth="true" hidden="false" outlineLevel="0" max="20" min="20" style="1" width="29.83"/>
    <col collapsed="false" customWidth="true" hidden="false" outlineLevel="0" max="257" min="21" style="1" width="8.79"/>
    <col collapsed="false" customWidth="true" hidden="false" outlineLevel="0" max="1025" min="258" style="0" width="8.37"/>
  </cols>
  <sheetData>
    <row r="1" customFormat="false" ht="37.3" hidden="false" customHeight="false" outlineLevel="0" collapsed="false">
      <c r="A1" s="3" t="s">
        <v>0</v>
      </c>
      <c r="B1" s="4"/>
      <c r="C1" s="3" t="s">
        <v>1</v>
      </c>
      <c r="D1" s="3"/>
      <c r="E1" s="3"/>
      <c r="F1" s="5"/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7" t="s">
        <v>12</v>
      </c>
      <c r="R1" s="6" t="s">
        <v>13</v>
      </c>
      <c r="S1" s="6" t="s">
        <v>14</v>
      </c>
      <c r="T1" s="0"/>
      <c r="U1" s="0"/>
    </row>
    <row r="2" customFormat="false" ht="13.55" hidden="false" customHeight="false" outlineLevel="0" collapsed="false">
      <c r="A2" s="3" t="s">
        <v>15</v>
      </c>
      <c r="B2" s="3" t="s">
        <v>16</v>
      </c>
      <c r="C2" s="8" t="s">
        <v>17</v>
      </c>
      <c r="D2" s="3" t="s">
        <v>18</v>
      </c>
      <c r="E2" s="3" t="s">
        <v>19</v>
      </c>
      <c r="F2" s="5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7" t="s">
        <v>28</v>
      </c>
      <c r="O2" s="7" t="s">
        <v>29</v>
      </c>
      <c r="P2" s="7" t="s">
        <v>30</v>
      </c>
      <c r="Q2" s="7" t="s">
        <v>31</v>
      </c>
      <c r="R2" s="7" t="s">
        <v>32</v>
      </c>
      <c r="S2" s="7"/>
      <c r="T2" s="8" t="s">
        <v>17</v>
      </c>
      <c r="U2" s="0"/>
    </row>
    <row r="3" customFormat="false" ht="12.8" hidden="false" customHeight="false" outlineLevel="0" collapsed="false">
      <c r="A3" s="9" t="n">
        <v>1</v>
      </c>
      <c r="B3" s="10"/>
      <c r="C3" s="11" t="s">
        <v>33</v>
      </c>
      <c r="D3" s="10"/>
      <c r="E3" s="10"/>
      <c r="F3" s="4"/>
      <c r="G3" s="12" t="n">
        <v>7</v>
      </c>
      <c r="H3" s="12" t="n">
        <v>7</v>
      </c>
      <c r="I3" s="12" t="n">
        <v>7</v>
      </c>
      <c r="J3" s="13" t="n">
        <v>5</v>
      </c>
      <c r="K3" s="13" t="n">
        <v>5</v>
      </c>
      <c r="L3" s="13" t="n">
        <v>5</v>
      </c>
      <c r="M3" s="13" t="n">
        <f aca="false">(2*G3+J3)/3</f>
        <v>6.33333333333333</v>
      </c>
      <c r="N3" s="13" t="n">
        <f aca="false">(2*H3+K3)/3</f>
        <v>6.33333333333333</v>
      </c>
      <c r="O3" s="13" t="n">
        <f aca="false">(2*I3+L3)/3</f>
        <v>6.33333333333333</v>
      </c>
      <c r="P3" s="13" t="n">
        <f aca="false">IF(AND(M3&gt;=4,N3&gt;=4,O3&gt;=4),M3/3+N3/3+O3/3,MIN(M3,N3,O3))</f>
        <v>6.33333333333333</v>
      </c>
      <c r="Q3" s="13"/>
      <c r="R3" s="14" t="n">
        <f aca="false">IF(AND(P3&gt;=5,ISBLANK(Q3)),P3,(P3+Q3)/2)</f>
        <v>6.33333333333333</v>
      </c>
      <c r="S3" s="13" t="s">
        <v>34</v>
      </c>
      <c r="T3" s="15" t="str">
        <f aca="false">C3</f>
        <v>Exemplo</v>
      </c>
      <c r="U3" s="13"/>
    </row>
    <row r="4" customFormat="false" ht="12.8" hidden="false" customHeight="false" outlineLevel="0" collapsed="false">
      <c r="A4" s="9" t="n">
        <f aca="false">A3+1</f>
        <v>2</v>
      </c>
      <c r="B4" s="10"/>
      <c r="C4" s="11" t="s">
        <v>33</v>
      </c>
      <c r="D4" s="10"/>
      <c r="E4" s="10"/>
      <c r="F4" s="4"/>
      <c r="G4" s="12" t="n">
        <v>10</v>
      </c>
      <c r="H4" s="12" t="n">
        <v>7</v>
      </c>
      <c r="I4" s="12" t="n">
        <v>7</v>
      </c>
      <c r="J4" s="13" t="n">
        <v>3.7</v>
      </c>
      <c r="K4" s="13" t="n">
        <v>7</v>
      </c>
      <c r="L4" s="13" t="n">
        <v>7</v>
      </c>
      <c r="M4" s="13" t="n">
        <f aca="false">(2*G4+J4)/3</f>
        <v>7.9</v>
      </c>
      <c r="N4" s="13" t="n">
        <f aca="false">(2*H4+K4)/3</f>
        <v>7</v>
      </c>
      <c r="O4" s="13" t="n">
        <f aca="false">(2*I4+L4)/3</f>
        <v>7</v>
      </c>
      <c r="P4" s="13" t="n">
        <f aca="false">IF(AND(M4&gt;=4,N4&gt;=4,O4&gt;=4),M4/3+N4/3+O4/3,MIN(M4,N4,O4))</f>
        <v>7.3</v>
      </c>
      <c r="Q4" s="13"/>
      <c r="R4" s="14" t="n">
        <f aca="false">IF(AND(P4&gt;=5,ISBLANK(Q4)),P4,(P4+Q4)/2)</f>
        <v>7.3</v>
      </c>
      <c r="S4" s="13" t="s">
        <v>34</v>
      </c>
      <c r="T4" s="15" t="str">
        <f aca="false">C4</f>
        <v>Exemplo</v>
      </c>
      <c r="U4" s="13"/>
    </row>
    <row r="5" customFormat="false" ht="12.8" hidden="false" customHeight="false" outlineLevel="0" collapsed="false">
      <c r="A5" s="9" t="n">
        <f aca="false">A4+1</f>
        <v>3</v>
      </c>
      <c r="B5" s="10"/>
      <c r="C5" s="11" t="s">
        <v>33</v>
      </c>
      <c r="D5" s="10"/>
      <c r="E5" s="10"/>
      <c r="F5" s="4"/>
      <c r="G5" s="12" t="n">
        <v>5</v>
      </c>
      <c r="H5" s="12" t="n">
        <v>5</v>
      </c>
      <c r="I5" s="12" t="n">
        <v>4.5</v>
      </c>
      <c r="J5" s="13" t="n">
        <v>2.5</v>
      </c>
      <c r="K5" s="13" t="n">
        <v>2</v>
      </c>
      <c r="L5" s="13" t="n">
        <v>3</v>
      </c>
      <c r="M5" s="13" t="n">
        <f aca="false">(2*G5+J5)/3</f>
        <v>4.16666666666667</v>
      </c>
      <c r="N5" s="13" t="n">
        <f aca="false">(2*H5+K5)/3</f>
        <v>4</v>
      </c>
      <c r="O5" s="13" t="n">
        <f aca="false">(2*I5+L5)/3</f>
        <v>4</v>
      </c>
      <c r="P5" s="13" t="n">
        <f aca="false">IF(AND(M5&gt;=4,N5&gt;=4,O5&gt;=4),M5/3+N5/3+O5/3,MIN(M5,N5,O5))</f>
        <v>4.05555555555556</v>
      </c>
      <c r="Q5" s="13"/>
      <c r="R5" s="14" t="n">
        <f aca="false">IF(AND(P5&gt;=5,ISBLANK(Q5)),P5,(P5+Q5)/2)</f>
        <v>2.02777777777778</v>
      </c>
      <c r="S5" s="13" t="s">
        <v>35</v>
      </c>
      <c r="T5" s="15" t="str">
        <f aca="false">C5</f>
        <v>Exemplo</v>
      </c>
      <c r="U5" s="13"/>
    </row>
    <row r="6" customFormat="false" ht="12.8" hidden="false" customHeight="false" outlineLevel="0" collapsed="false">
      <c r="A6" s="9" t="n">
        <f aca="false">A5+1</f>
        <v>4</v>
      </c>
      <c r="B6" s="10"/>
      <c r="C6" s="11" t="s">
        <v>33</v>
      </c>
      <c r="D6" s="10"/>
      <c r="E6" s="10"/>
      <c r="F6" s="4"/>
      <c r="G6" s="12" t="n">
        <v>7</v>
      </c>
      <c r="H6" s="12" t="n">
        <v>4</v>
      </c>
      <c r="I6" s="12" t="n">
        <v>8</v>
      </c>
      <c r="J6" s="13" t="n">
        <v>5</v>
      </c>
      <c r="K6" s="13" t="n">
        <v>3</v>
      </c>
      <c r="L6" s="13" t="n">
        <v>7</v>
      </c>
      <c r="M6" s="13" t="n">
        <f aca="false">(2*G6+J6)/3</f>
        <v>6.33333333333333</v>
      </c>
      <c r="N6" s="13" t="n">
        <f aca="false">(2*H6+K6)/3</f>
        <v>3.66666666666667</v>
      </c>
      <c r="O6" s="13" t="n">
        <f aca="false">(2*I6+L6)/3</f>
        <v>7.66666666666667</v>
      </c>
      <c r="P6" s="13" t="n">
        <f aca="false">IF(AND(M6&gt;=4,N6&gt;=4,O6&gt;=4),M6/3+N6/3+O6/3,MIN(M6,N6,O6))</f>
        <v>3.66666666666667</v>
      </c>
      <c r="Q6" s="13" t="n">
        <v>4</v>
      </c>
      <c r="R6" s="14" t="n">
        <f aca="false">IF(AND(P6&gt;=5,ISBLANK(Q6)),P6,(P6+Q6)/2)</f>
        <v>3.83333333333333</v>
      </c>
      <c r="S6" s="13" t="s">
        <v>35</v>
      </c>
      <c r="T6" s="15" t="str">
        <f aca="false">C6</f>
        <v>Exemplo</v>
      </c>
      <c r="U6" s="13"/>
    </row>
    <row r="7" customFormat="false" ht="12.8" hidden="false" customHeight="false" outlineLevel="0" collapsed="false">
      <c r="A7" s="9" t="n">
        <f aca="false">A6+1</f>
        <v>5</v>
      </c>
      <c r="B7" s="10"/>
      <c r="C7" s="11" t="s">
        <v>33</v>
      </c>
      <c r="D7" s="10"/>
      <c r="E7" s="10"/>
      <c r="F7" s="4"/>
      <c r="G7" s="12"/>
      <c r="H7" s="12"/>
      <c r="I7" s="12"/>
      <c r="J7" s="13"/>
      <c r="K7" s="13"/>
      <c r="L7" s="13"/>
      <c r="M7" s="13" t="n">
        <f aca="false">(2*G7+J7)/3</f>
        <v>0</v>
      </c>
      <c r="N7" s="13" t="n">
        <f aca="false">(2*H7+K7)/3</f>
        <v>0</v>
      </c>
      <c r="O7" s="13" t="n">
        <f aca="false">(2*I7+L7)/3</f>
        <v>0</v>
      </c>
      <c r="P7" s="13" t="n">
        <f aca="false">IF(AND(M7&gt;=4,N7&gt;=4,O7&gt;=4),M7/3+N7/3+O7/3,MIN(M7,N7,O7))</f>
        <v>0</v>
      </c>
      <c r="Q7" s="13"/>
      <c r="R7" s="14" t="n">
        <f aca="false">IF(AND(P7&gt;=5,ISBLANK(Q7)),P7,(P7+Q7)/2)</f>
        <v>0</v>
      </c>
      <c r="S7" s="13" t="s">
        <v>36</v>
      </c>
      <c r="T7" s="15" t="str">
        <f aca="false">C7</f>
        <v>Exemplo</v>
      </c>
      <c r="U7" s="13"/>
    </row>
    <row r="8" customFormat="false" ht="12.8" hidden="false" customHeight="false" outlineLevel="0" collapsed="false">
      <c r="A8" s="9" t="n">
        <f aca="false">A7+1</f>
        <v>6</v>
      </c>
      <c r="B8" s="10"/>
      <c r="C8" s="11"/>
      <c r="D8" s="10"/>
      <c r="E8" s="10"/>
      <c r="F8" s="4"/>
      <c r="G8" s="12"/>
      <c r="H8" s="12"/>
      <c r="I8" s="12"/>
      <c r="J8" s="13"/>
      <c r="K8" s="13"/>
      <c r="L8" s="13"/>
      <c r="M8" s="16"/>
      <c r="N8" s="16"/>
      <c r="O8" s="16"/>
      <c r="P8" s="16"/>
      <c r="Q8" s="13"/>
      <c r="R8" s="14"/>
      <c r="S8" s="11"/>
      <c r="T8" s="17"/>
    </row>
    <row r="9" customFormat="false" ht="12.8" hidden="false" customHeight="false" outlineLevel="0" collapsed="false">
      <c r="A9" s="9" t="n">
        <f aca="false">A8+1</f>
        <v>7</v>
      </c>
      <c r="B9" s="4" t="n">
        <f aca="false">MC346A!A3</f>
        <v>101487</v>
      </c>
      <c r="C9" s="18" t="str">
        <f aca="false">MC346A!B3</f>
        <v>André Guaraldo</v>
      </c>
      <c r="D9" s="19" t="n">
        <f aca="false">MC346A!C3</f>
        <v>42</v>
      </c>
      <c r="E9" s="19" t="str">
        <f aca="false">MC346A!D3</f>
        <v>G</v>
      </c>
      <c r="F9" s="4" t="str">
        <f aca="false">MC346A!F3</f>
        <v>  </v>
      </c>
      <c r="G9" s="20" t="n">
        <f aca="false">'Prova Prolog'!I3</f>
        <v>0</v>
      </c>
      <c r="H9" s="20" t="n">
        <f aca="false">'Prova Haskell'!I3</f>
        <v>0</v>
      </c>
      <c r="I9" s="20" t="n">
        <f aca="false">'Prova Python'!I3</f>
        <v>0</v>
      </c>
      <c r="J9" s="20" t="n">
        <f aca="false">'Desafio Prolog'!O8</f>
        <v>0</v>
      </c>
      <c r="K9" s="20" t="n">
        <f aca="false">'Desafio Haskell'!P8</f>
        <v>0</v>
      </c>
      <c r="L9" s="20" t="n">
        <f aca="false">'Desafio Python'!P8</f>
        <v>0</v>
      </c>
      <c r="M9" s="20" t="n">
        <f aca="false">(2*G9+J9)/3</f>
        <v>0</v>
      </c>
      <c r="N9" s="20" t="n">
        <f aca="false">(2*H9+K9)/3</f>
        <v>0</v>
      </c>
      <c r="O9" s="20" t="n">
        <f aca="false">(2*I9+L9)/3</f>
        <v>0</v>
      </c>
      <c r="P9" s="20" t="n">
        <f aca="false">IF(AND(M9&gt;=4,N9&gt;=4,O9&gt;=4),M9/3+N9/3+O9/3,MIN(M9,N9,O9))</f>
        <v>0</v>
      </c>
      <c r="Q9" s="21"/>
      <c r="R9" s="21" t="n">
        <f aca="false">IF(AND(P9&gt;=5,ISBLANK(Q9)),P9,(P9+Q9)/2)</f>
        <v>0</v>
      </c>
      <c r="S9" s="11"/>
      <c r="T9" s="18" t="str">
        <f aca="false">C9</f>
        <v>André Guaraldo</v>
      </c>
    </row>
    <row r="10" customFormat="false" ht="12.8" hidden="false" customHeight="false" outlineLevel="0" collapsed="false">
      <c r="A10" s="9" t="n">
        <f aca="false">A9+1</f>
        <v>8</v>
      </c>
      <c r="B10" s="4" t="n">
        <f aca="false">MC346A!A4</f>
        <v>116134</v>
      </c>
      <c r="C10" s="18" t="str">
        <f aca="false">MC346A!B4</f>
        <v>André Seiji Tamanaha</v>
      </c>
      <c r="D10" s="19" t="n">
        <f aca="false">MC346A!C4</f>
        <v>34</v>
      </c>
      <c r="E10" s="4" t="str">
        <f aca="false">MC346A!D4</f>
        <v>G</v>
      </c>
      <c r="F10" s="4" t="str">
        <f aca="false">MC346A!F4</f>
        <v>AA</v>
      </c>
      <c r="G10" s="20" t="n">
        <f aca="false">'Prova Prolog'!I4</f>
        <v>2</v>
      </c>
      <c r="H10" s="20" t="n">
        <f aca="false">'Prova Haskell'!I4</f>
        <v>0</v>
      </c>
      <c r="I10" s="20" t="n">
        <f aca="false">'Prova Python'!I4</f>
        <v>0</v>
      </c>
      <c r="J10" s="20" t="n">
        <f aca="false">'Desafio Prolog'!O9</f>
        <v>0</v>
      </c>
      <c r="K10" s="20" t="n">
        <f aca="false">'Desafio Haskell'!P9</f>
        <v>0</v>
      </c>
      <c r="L10" s="20" t="n">
        <f aca="false">'Desafio Python'!P9</f>
        <v>0</v>
      </c>
      <c r="M10" s="20" t="n">
        <f aca="false">(2*G10+J10)/3</f>
        <v>1.33333333333333</v>
      </c>
      <c r="N10" s="20" t="n">
        <f aca="false">(2*H10+K10)/3</f>
        <v>0</v>
      </c>
      <c r="O10" s="20" t="n">
        <f aca="false">(2*I10+L10)/3</f>
        <v>0</v>
      </c>
      <c r="P10" s="20" t="n">
        <f aca="false">IF(AND(M10&gt;=4,N10&gt;=4,O10&gt;=4),M10/3+N10/3+O10/3,MIN(M10,N10,O10))</f>
        <v>0</v>
      </c>
      <c r="Q10" s="21"/>
      <c r="R10" s="21" t="n">
        <f aca="false">IF(AND(P10&gt;=5,ISBLANK(Q10)),P10,(P10+Q10)/2)</f>
        <v>0</v>
      </c>
      <c r="S10" s="11"/>
      <c r="T10" s="18" t="str">
        <f aca="false">C10</f>
        <v>André Seiji Tamanaha</v>
      </c>
    </row>
    <row r="11" customFormat="false" ht="12.8" hidden="false" customHeight="false" outlineLevel="0" collapsed="false">
      <c r="A11" s="9" t="n">
        <f aca="false">A10+1</f>
        <v>9</v>
      </c>
      <c r="B11" s="4" t="n">
        <f aca="false">MC346A!A5</f>
        <v>117079</v>
      </c>
      <c r="C11" s="18" t="str">
        <f aca="false">MC346A!B5</f>
        <v>Guilherme Bighetti Platzeck</v>
      </c>
      <c r="D11" s="19" t="n">
        <f aca="false">MC346A!C5</f>
        <v>42</v>
      </c>
      <c r="E11" s="4" t="str">
        <f aca="false">MC346A!D5</f>
        <v>G</v>
      </c>
      <c r="F11" s="4" t="str">
        <f aca="false">MC346A!F5</f>
        <v>  </v>
      </c>
      <c r="G11" s="20" t="n">
        <f aca="false">'Prova Prolog'!I5</f>
        <v>9</v>
      </c>
      <c r="H11" s="20" t="n">
        <f aca="false">'Prova Haskell'!I5</f>
        <v>5.7</v>
      </c>
      <c r="I11" s="20" t="n">
        <f aca="false">'Prova Python'!I5</f>
        <v>9</v>
      </c>
      <c r="J11" s="20" t="n">
        <f aca="false">'Desafio Prolog'!O10</f>
        <v>9.58655609246441</v>
      </c>
      <c r="K11" s="20" t="n">
        <f aca="false">'Desafio Haskell'!P10</f>
        <v>8.76172259536505</v>
      </c>
      <c r="L11" s="20" t="n">
        <f aca="false">'Desafio Python'!P10</f>
        <v>3.28423220932308</v>
      </c>
      <c r="M11" s="20" t="n">
        <f aca="false">(2*G11+J11)/3</f>
        <v>9.19551869748814</v>
      </c>
      <c r="N11" s="20" t="n">
        <f aca="false">(2*H11+K11)/3</f>
        <v>6.72057419845502</v>
      </c>
      <c r="O11" s="20" t="n">
        <f aca="false">(2*I11+L11)/3</f>
        <v>7.09474406977436</v>
      </c>
      <c r="P11" s="20" t="n">
        <f aca="false">IF(AND(M11&gt;=4,N11&gt;=4,O11&gt;=4),M11/3+N11/3+O11/3,MIN(M11,N11,O11))</f>
        <v>7.67027898857251</v>
      </c>
      <c r="Q11" s="21"/>
      <c r="R11" s="21" t="n">
        <f aca="false">IF(AND(P11&gt;=5,ISBLANK(Q11)),P11,(P11+Q11)/2)</f>
        <v>7.67027898857251</v>
      </c>
      <c r="S11" s="11"/>
      <c r="T11" s="18" t="str">
        <f aca="false">C11</f>
        <v>Guilherme Bighetti Platzeck</v>
      </c>
    </row>
    <row r="12" customFormat="false" ht="12.8" hidden="false" customHeight="false" outlineLevel="0" collapsed="false">
      <c r="A12" s="9" t="n">
        <f aca="false">A11+1</f>
        <v>10</v>
      </c>
      <c r="B12" s="4" t="n">
        <f aca="false">MC346A!A6</f>
        <v>118363</v>
      </c>
      <c r="C12" s="18" t="str">
        <f aca="false">MC346A!B6</f>
        <v>Pedro Gabriel Calixto Mendonça</v>
      </c>
      <c r="D12" s="19" t="n">
        <f aca="false">MC346A!C6</f>
        <v>34</v>
      </c>
      <c r="E12" s="4" t="str">
        <f aca="false">MC346A!D6</f>
        <v>G</v>
      </c>
      <c r="F12" s="4" t="str">
        <f aca="false">MC346A!F6</f>
        <v>AB</v>
      </c>
      <c r="G12" s="20" t="n">
        <f aca="false">'Prova Prolog'!I6</f>
        <v>9.5</v>
      </c>
      <c r="H12" s="20" t="n">
        <f aca="false">'Prova Haskell'!I6</f>
        <v>6.4</v>
      </c>
      <c r="I12" s="20" t="n">
        <f aca="false">'Prova Python'!I6</f>
        <v>8.8</v>
      </c>
      <c r="J12" s="20" t="n">
        <f aca="false">'Desafio Prolog'!O11</f>
        <v>9.48595813204509</v>
      </c>
      <c r="K12" s="20" t="n">
        <f aca="false">'Desafio Haskell'!P11</f>
        <v>9.85374853101894</v>
      </c>
      <c r="L12" s="20" t="n">
        <f aca="false">'Desafio Python'!P11</f>
        <v>9.07830887244295</v>
      </c>
      <c r="M12" s="20" t="n">
        <f aca="false">(2*G12+J12)/3</f>
        <v>9.49531937734836</v>
      </c>
      <c r="N12" s="20" t="n">
        <f aca="false">(2*H12+K12)/3</f>
        <v>7.55124951033965</v>
      </c>
      <c r="O12" s="20" t="n">
        <f aca="false">(2*I12+L12)/3</f>
        <v>8.89276962414765</v>
      </c>
      <c r="P12" s="20" t="n">
        <f aca="false">IF(AND(M12&gt;=4,N12&gt;=4,O12&gt;=4),M12/3+N12/3+O12/3,MIN(M12,N12,O12))</f>
        <v>8.64644617061189</v>
      </c>
      <c r="Q12" s="21"/>
      <c r="R12" s="21" t="n">
        <f aca="false">IF(AND(P12&gt;=5,ISBLANK(Q12)),P12,(P12+Q12)/2)</f>
        <v>8.64644617061189</v>
      </c>
      <c r="S12" s="11"/>
      <c r="T12" s="18" t="str">
        <f aca="false">C12</f>
        <v>Pedro Gabriel Calixto Mendonça</v>
      </c>
    </row>
    <row r="13" customFormat="false" ht="12.8" hidden="false" customHeight="false" outlineLevel="0" collapsed="false">
      <c r="A13" s="9" t="n">
        <f aca="false">A12+1</f>
        <v>11</v>
      </c>
      <c r="B13" s="4" t="n">
        <f aca="false">MC346A!A7</f>
        <v>118827</v>
      </c>
      <c r="C13" s="18" t="str">
        <f aca="false">MC346A!B7</f>
        <v>Tiago Lobato Gimenes</v>
      </c>
      <c r="D13" s="19" t="n">
        <f aca="false">MC346A!C7</f>
        <v>34</v>
      </c>
      <c r="E13" s="4" t="str">
        <f aca="false">MC346A!D7</f>
        <v>G</v>
      </c>
      <c r="F13" s="4" t="str">
        <f aca="false">MC346A!F7</f>
        <v>AA</v>
      </c>
      <c r="G13" s="20" t="n">
        <f aca="false">'Prova Prolog'!I7</f>
        <v>10</v>
      </c>
      <c r="H13" s="20" t="n">
        <f aca="false">'Prova Haskell'!I7</f>
        <v>8.9</v>
      </c>
      <c r="I13" s="20" t="n">
        <f aca="false">'Prova Python'!I7</f>
        <v>7.5</v>
      </c>
      <c r="J13" s="20" t="n">
        <f aca="false">'Desafio Prolog'!O12</f>
        <v>9.61380755445272</v>
      </c>
      <c r="K13" s="20" t="n">
        <f aca="false">'Desafio Haskell'!P12</f>
        <v>8.9162638604286</v>
      </c>
      <c r="L13" s="20" t="n">
        <f aca="false">'Desafio Python'!P12</f>
        <v>9.15697610972622</v>
      </c>
      <c r="M13" s="20" t="n">
        <f aca="false">(2*G13+J13)/3</f>
        <v>9.87126918481757</v>
      </c>
      <c r="N13" s="20" t="n">
        <f aca="false">(2*H13+K13)/3</f>
        <v>8.90542128680953</v>
      </c>
      <c r="O13" s="20" t="n">
        <f aca="false">(2*I13+L13)/3</f>
        <v>8.05232536990874</v>
      </c>
      <c r="P13" s="20" t="n">
        <f aca="false">IF(AND(M13&gt;=4,N13&gt;=4,O13&gt;=4),M13/3+N13/3+O13/3,MIN(M13,N13,O13))</f>
        <v>8.94300528051195</v>
      </c>
      <c r="Q13" s="21"/>
      <c r="R13" s="21" t="n">
        <f aca="false">IF(AND(P13&gt;=5,ISBLANK(Q13)),P13,(P13+Q13)/2)</f>
        <v>8.94300528051195</v>
      </c>
      <c r="S13" s="11"/>
      <c r="T13" s="18" t="str">
        <f aca="false">C13</f>
        <v>Tiago Lobato Gimenes</v>
      </c>
    </row>
    <row r="14" customFormat="false" ht="12.8" hidden="false" customHeight="false" outlineLevel="0" collapsed="false">
      <c r="A14" s="22" t="n">
        <f aca="false">A13+1</f>
        <v>12</v>
      </c>
      <c r="B14" s="4" t="n">
        <f aca="false">MC346A!A8</f>
        <v>119494</v>
      </c>
      <c r="C14" s="18" t="str">
        <f aca="false">MC346A!B8</f>
        <v>Guilherme Costa Zanelato</v>
      </c>
      <c r="D14" s="19" t="n">
        <f aca="false">MC346A!C8</f>
        <v>34</v>
      </c>
      <c r="E14" s="4" t="str">
        <f aca="false">MC346A!D8</f>
        <v>G</v>
      </c>
      <c r="F14" s="4" t="str">
        <f aca="false">MC346A!F8</f>
        <v>AA</v>
      </c>
      <c r="G14" s="20" t="n">
        <f aca="false">'Prova Prolog'!I8</f>
        <v>2</v>
      </c>
      <c r="H14" s="20" t="n">
        <f aca="false">'Prova Haskell'!I8</f>
        <v>0</v>
      </c>
      <c r="I14" s="20" t="n">
        <f aca="false">'Prova Python'!I8</f>
        <v>0</v>
      </c>
      <c r="J14" s="20" t="n">
        <f aca="false">'Desafio Prolog'!O13</f>
        <v>7.03330820539968</v>
      </c>
      <c r="K14" s="20" t="n">
        <f aca="false">'Desafio Haskell'!P13</f>
        <v>0</v>
      </c>
      <c r="L14" s="20" t="n">
        <f aca="false">'Desafio Python'!P13</f>
        <v>0</v>
      </c>
      <c r="M14" s="20" t="n">
        <f aca="false">(2*G14+J14)/3</f>
        <v>3.67776940179989</v>
      </c>
      <c r="N14" s="20" t="n">
        <f aca="false">(2*H14+K14)/3</f>
        <v>0</v>
      </c>
      <c r="O14" s="20" t="n">
        <f aca="false">(2*I14+L14)/3</f>
        <v>0</v>
      </c>
      <c r="P14" s="20" t="n">
        <f aca="false">IF(AND(M14&gt;=4,N14&gt;=4,O14&gt;=4),M14/3+N14/3+O14/3,MIN(M14,N14,O14))</f>
        <v>0</v>
      </c>
      <c r="Q14" s="23"/>
      <c r="R14" s="21" t="n">
        <f aca="false">IF(AND(P14&gt;=5,ISBLANK(Q14)),P14,(P14+Q14)/2)</f>
        <v>0</v>
      </c>
      <c r="S14" s="11"/>
      <c r="T14" s="18" t="str">
        <f aca="false">C14</f>
        <v>Guilherme Costa Zanelato</v>
      </c>
    </row>
    <row r="15" customFormat="false" ht="12.8" hidden="false" customHeight="false" outlineLevel="0" collapsed="false">
      <c r="A15" s="9" t="n">
        <f aca="false">A14+1</f>
        <v>13</v>
      </c>
      <c r="B15" s="4" t="n">
        <f aca="false">MC346A!A9</f>
        <v>119637</v>
      </c>
      <c r="C15" s="18" t="str">
        <f aca="false">MC346A!B9</f>
        <v>João Víctor Chencci Marques</v>
      </c>
      <c r="D15" s="19" t="n">
        <f aca="false">MC346A!C9</f>
        <v>42</v>
      </c>
      <c r="E15" s="4" t="str">
        <f aca="false">MC346A!D9</f>
        <v>G</v>
      </c>
      <c r="F15" s="4" t="str">
        <f aca="false">MC346A!F9</f>
        <v>  </v>
      </c>
      <c r="G15" s="20" t="n">
        <f aca="false">'Prova Prolog'!I9</f>
        <v>1.5</v>
      </c>
      <c r="H15" s="20" t="n">
        <f aca="false">'Prova Haskell'!I9</f>
        <v>0</v>
      </c>
      <c r="I15" s="20" t="n">
        <f aca="false">'Prova Python'!I9</f>
        <v>0</v>
      </c>
      <c r="J15" s="20" t="n">
        <f aca="false">'Desafio Prolog'!O14</f>
        <v>2.91424302788845</v>
      </c>
      <c r="K15" s="20" t="n">
        <f aca="false">'Desafio Haskell'!P14</f>
        <v>0</v>
      </c>
      <c r="L15" s="20" t="n">
        <f aca="false">'Desafio Python'!P14</f>
        <v>0</v>
      </c>
      <c r="M15" s="20" t="n">
        <f aca="false">(2*G15+J15)/3</f>
        <v>1.97141434262948</v>
      </c>
      <c r="N15" s="20" t="n">
        <f aca="false">(2*H15+K15)/3</f>
        <v>0</v>
      </c>
      <c r="O15" s="20" t="n">
        <f aca="false">(2*I15+L15)/3</f>
        <v>0</v>
      </c>
      <c r="P15" s="20" t="n">
        <f aca="false">IF(AND(M15&gt;=4,N15&gt;=4,O15&gt;=4),M15/3+N15/3+O15/3,MIN(M15,N15,O15))</f>
        <v>0</v>
      </c>
      <c r="Q15" s="21"/>
      <c r="R15" s="21" t="n">
        <f aca="false">IF(AND(P15&gt;=5,ISBLANK(Q15)),P15,(P15+Q15)/2)</f>
        <v>0</v>
      </c>
      <c r="S15" s="11"/>
      <c r="T15" s="18" t="str">
        <f aca="false">C15</f>
        <v>João Víctor Chencci Marques</v>
      </c>
    </row>
    <row r="16" customFormat="false" ht="12.8" hidden="false" customHeight="false" outlineLevel="0" collapsed="false">
      <c r="A16" s="9" t="n">
        <f aca="false">A15+1</f>
        <v>14</v>
      </c>
      <c r="B16" s="4" t="n">
        <f aca="false">MC346A!A10</f>
        <v>135680</v>
      </c>
      <c r="C16" s="18" t="str">
        <f aca="false">MC346A!B10</f>
        <v>Fellipe Santiago Scarpa Caetano</v>
      </c>
      <c r="D16" s="19" t="n">
        <f aca="false">MC346A!C10</f>
        <v>42</v>
      </c>
      <c r="E16" s="4" t="str">
        <f aca="false">MC346A!D10</f>
        <v>G</v>
      </c>
      <c r="F16" s="4" t="str">
        <f aca="false">MC346A!F10</f>
        <v>  </v>
      </c>
      <c r="G16" s="20" t="n">
        <f aca="false">'Prova Prolog'!I10</f>
        <v>6.8</v>
      </c>
      <c r="H16" s="20" t="n">
        <f aca="false">'Prova Haskell'!I10</f>
        <v>8</v>
      </c>
      <c r="I16" s="20" t="n">
        <f aca="false">'Prova Python'!I10</f>
        <v>7</v>
      </c>
      <c r="J16" s="20" t="n">
        <f aca="false">'Desafio Prolog'!O15</f>
        <v>1.4</v>
      </c>
      <c r="K16" s="20" t="n">
        <f aca="false">'Desafio Haskell'!P15</f>
        <v>6.74677742613902</v>
      </c>
      <c r="L16" s="20" t="n">
        <f aca="false">'Desafio Python'!P15</f>
        <v>9.43365691345786</v>
      </c>
      <c r="M16" s="20" t="n">
        <f aca="false">(2*G16+J16)/3</f>
        <v>5</v>
      </c>
      <c r="N16" s="20" t="n">
        <f aca="false">(2*H16+K16)/3</f>
        <v>7.58225914204634</v>
      </c>
      <c r="O16" s="20" t="n">
        <f aca="false">(2*I16+L16)/3</f>
        <v>7.81121897115262</v>
      </c>
      <c r="P16" s="20" t="n">
        <f aca="false">IF(AND(M16&gt;=4,N16&gt;=4,O16&gt;=4),M16/3+N16/3+O16/3,MIN(M16,N16,O16))</f>
        <v>6.79782603773299</v>
      </c>
      <c r="Q16" s="21"/>
      <c r="R16" s="21" t="n">
        <f aca="false">IF(AND(P16&gt;=5,ISBLANK(Q16)),P16,(P16+Q16)/2)</f>
        <v>6.79782603773299</v>
      </c>
      <c r="S16" s="11"/>
      <c r="T16" s="18" t="str">
        <f aca="false">C16</f>
        <v>Fellipe Santiago Scarpa Caetano</v>
      </c>
    </row>
    <row r="17" customFormat="false" ht="12.8" hidden="false" customHeight="false" outlineLevel="0" collapsed="false">
      <c r="A17" s="9" t="n">
        <f aca="false">A16+1</f>
        <v>15</v>
      </c>
      <c r="B17" s="4" t="n">
        <f aca="false">MC346A!A11</f>
        <v>135986</v>
      </c>
      <c r="C17" s="18" t="str">
        <f aca="false">MC346A!B11</f>
        <v>Guilherme Santos Pereira</v>
      </c>
      <c r="D17" s="19" t="n">
        <f aca="false">MC346A!C11</f>
        <v>42</v>
      </c>
      <c r="E17" s="4" t="str">
        <f aca="false">MC346A!D11</f>
        <v>G</v>
      </c>
      <c r="F17" s="4" t="str">
        <f aca="false">MC346A!F11</f>
        <v>  </v>
      </c>
      <c r="G17" s="20" t="n">
        <f aca="false">'Prova Prolog'!I11</f>
        <v>1.5</v>
      </c>
      <c r="H17" s="20" t="n">
        <f aca="false">'Prova Haskell'!I11</f>
        <v>1.8</v>
      </c>
      <c r="I17" s="20" t="n">
        <f aca="false">'Prova Python'!I11</f>
        <v>0</v>
      </c>
      <c r="J17" s="20" t="n">
        <f aca="false">'Desafio Prolog'!O16</f>
        <v>3.46864951768489</v>
      </c>
      <c r="K17" s="20" t="n">
        <f aca="false">'Desafio Haskell'!P16</f>
        <v>0</v>
      </c>
      <c r="L17" s="20" t="n">
        <f aca="false">'Desafio Python'!P16</f>
        <v>0</v>
      </c>
      <c r="M17" s="20" t="n">
        <f aca="false">(2*G17+J17)/3</f>
        <v>2.15621650589496</v>
      </c>
      <c r="N17" s="20" t="n">
        <f aca="false">(2*H17+K17)/3</f>
        <v>1.2</v>
      </c>
      <c r="O17" s="20" t="n">
        <f aca="false">(2*I17+L17)/3</f>
        <v>0</v>
      </c>
      <c r="P17" s="20" t="n">
        <f aca="false">IF(AND(M17&gt;=4,N17&gt;=4,O17&gt;=4),M17/3+N17/3+O17/3,MIN(M17,N17,O17))</f>
        <v>0</v>
      </c>
      <c r="Q17" s="21"/>
      <c r="R17" s="21" t="n">
        <f aca="false">IF(AND(P17&gt;=5,ISBLANK(Q17)),P17,(P17+Q17)/2)</f>
        <v>0</v>
      </c>
      <c r="S17" s="11"/>
      <c r="T17" s="18" t="str">
        <f aca="false">C17</f>
        <v>Guilherme Santos Pereira</v>
      </c>
    </row>
    <row r="18" customFormat="false" ht="12.8" hidden="false" customHeight="false" outlineLevel="0" collapsed="false">
      <c r="A18" s="9" t="n">
        <f aca="false">A17+1</f>
        <v>16</v>
      </c>
      <c r="B18" s="4" t="n">
        <f aca="false">MC346A!A12</f>
        <v>136454</v>
      </c>
      <c r="C18" s="18" t="str">
        <f aca="false">MC346A!B12</f>
        <v>Larissa Dominique Garcia</v>
      </c>
      <c r="D18" s="19" t="n">
        <f aca="false">MC346A!C12</f>
        <v>42</v>
      </c>
      <c r="E18" s="4" t="str">
        <f aca="false">MC346A!D12</f>
        <v>G</v>
      </c>
      <c r="F18" s="4" t="str">
        <f aca="false">MC346A!F12</f>
        <v>  </v>
      </c>
      <c r="G18" s="20" t="n">
        <f aca="false">'Prova Prolog'!I12</f>
        <v>1</v>
      </c>
      <c r="H18" s="20" t="n">
        <f aca="false">'Prova Haskell'!I12</f>
        <v>0</v>
      </c>
      <c r="I18" s="20" t="n">
        <f aca="false">'Prova Python'!I12</f>
        <v>0</v>
      </c>
      <c r="J18" s="20" t="n">
        <f aca="false">'Desafio Prolog'!O17</f>
        <v>0</v>
      </c>
      <c r="K18" s="20" t="n">
        <f aca="false">'Desafio Haskell'!P17</f>
        <v>0</v>
      </c>
      <c r="L18" s="20" t="n">
        <f aca="false">'Desafio Python'!P17</f>
        <v>0</v>
      </c>
      <c r="M18" s="20" t="n">
        <f aca="false">(2*G18+J18)/3</f>
        <v>0.666666666666667</v>
      </c>
      <c r="N18" s="20" t="n">
        <f aca="false">(2*H18+K18)/3</f>
        <v>0</v>
      </c>
      <c r="O18" s="20" t="n">
        <f aca="false">(2*I18+L18)/3</f>
        <v>0</v>
      </c>
      <c r="P18" s="20" t="n">
        <f aca="false">IF(AND(M18&gt;=4,N18&gt;=4,O18&gt;=4),M18/3+N18/3+O18/3,MIN(M18,N18,O18))</f>
        <v>0</v>
      </c>
      <c r="Q18" s="21"/>
      <c r="R18" s="21" t="n">
        <f aca="false">IF(AND(P18&gt;=5,ISBLANK(Q18)),P18,(P18+Q18)/2)</f>
        <v>0</v>
      </c>
      <c r="S18" s="11"/>
      <c r="T18" s="18" t="str">
        <f aca="false">C18</f>
        <v>Larissa Dominique Garcia</v>
      </c>
    </row>
    <row r="19" customFormat="false" ht="12.8" hidden="false" customHeight="false" outlineLevel="0" collapsed="false">
      <c r="A19" s="9" t="n">
        <f aca="false">A18+1</f>
        <v>17</v>
      </c>
      <c r="B19" s="4" t="n">
        <f aca="false">MC346A!A13</f>
        <v>137733</v>
      </c>
      <c r="C19" s="18" t="str">
        <f aca="false">MC346A!B13</f>
        <v>Tiago Bento Fernandes</v>
      </c>
      <c r="D19" s="19" t="n">
        <f aca="false">MC346A!C13</f>
        <v>42</v>
      </c>
      <c r="E19" s="4" t="str">
        <f aca="false">MC346A!D13</f>
        <v>G</v>
      </c>
      <c r="F19" s="4" t="str">
        <f aca="false">MC346A!F13</f>
        <v>  </v>
      </c>
      <c r="G19" s="20" t="n">
        <f aca="false">'Prova Prolog'!I13</f>
        <v>7.5</v>
      </c>
      <c r="H19" s="20" t="n">
        <f aca="false">'Prova Haskell'!I13</f>
        <v>6.1</v>
      </c>
      <c r="I19" s="20" t="n">
        <f aca="false">'Prova Python'!I13</f>
        <v>8.1</v>
      </c>
      <c r="J19" s="20" t="n">
        <f aca="false">'Desafio Prolog'!O18</f>
        <v>0</v>
      </c>
      <c r="K19" s="20" t="n">
        <f aca="false">'Desafio Haskell'!P18</f>
        <v>6.72590204711868</v>
      </c>
      <c r="L19" s="20" t="n">
        <f aca="false">'Desafio Python'!P18</f>
        <v>4.9917818642993</v>
      </c>
      <c r="M19" s="20" t="n">
        <f aca="false">(2*G19+J19)/3</f>
        <v>5</v>
      </c>
      <c r="N19" s="20" t="n">
        <f aca="false">(2*H19+K19)/3</f>
        <v>6.30863401570623</v>
      </c>
      <c r="O19" s="20" t="n">
        <f aca="false">(2*I19+L19)/3</f>
        <v>7.06392728809977</v>
      </c>
      <c r="P19" s="20" t="n">
        <f aca="false">IF(AND(M19&gt;=4,N19&gt;=4,O19&gt;=4),M19/3+N19/3+O19/3,MIN(M19,N19,O19))</f>
        <v>6.12418710126867</v>
      </c>
      <c r="Q19" s="21"/>
      <c r="R19" s="21" t="n">
        <f aca="false">IF(AND(P19&gt;=5,ISBLANK(Q19)),P19,(P19+Q19)/2)</f>
        <v>6.12418710126867</v>
      </c>
      <c r="S19" s="11"/>
      <c r="T19" s="18" t="str">
        <f aca="false">C19</f>
        <v>Tiago Bento Fernandes</v>
      </c>
    </row>
    <row r="20" customFormat="false" ht="12.8" hidden="false" customHeight="false" outlineLevel="0" collapsed="false">
      <c r="A20" s="9" t="n">
        <f aca="false">A19+1</f>
        <v>18</v>
      </c>
      <c r="B20" s="4" t="n">
        <f aca="false">MC346A!A14</f>
        <v>138745</v>
      </c>
      <c r="C20" s="18" t="str">
        <f aca="false">MC346A!B14</f>
        <v>Lucas Piscello Cosme</v>
      </c>
      <c r="D20" s="19" t="n">
        <f aca="false">MC346A!C14</f>
        <v>42</v>
      </c>
      <c r="E20" s="4" t="str">
        <f aca="false">MC346A!D14</f>
        <v>G</v>
      </c>
      <c r="F20" s="4" t="str">
        <f aca="false">MC346A!F14</f>
        <v>  </v>
      </c>
      <c r="G20" s="20" t="n">
        <f aca="false">'Prova Prolog'!I14</f>
        <v>9</v>
      </c>
      <c r="H20" s="20" t="n">
        <f aca="false">'Prova Haskell'!I14</f>
        <v>6</v>
      </c>
      <c r="I20" s="20" t="n">
        <f aca="false">'Prova Python'!I14</f>
        <v>4.5</v>
      </c>
      <c r="J20" s="20" t="n">
        <f aca="false">'Desafio Prolog'!O19</f>
        <v>0</v>
      </c>
      <c r="K20" s="20" t="n">
        <f aca="false">'Desafio Haskell'!P19</f>
        <v>8.58458203214595</v>
      </c>
      <c r="L20" s="20" t="n">
        <f aca="false">'Desafio Python'!P19</f>
        <v>5.29465333039469</v>
      </c>
      <c r="M20" s="20" t="n">
        <f aca="false">(2*G20+J20)/3</f>
        <v>6</v>
      </c>
      <c r="N20" s="20" t="n">
        <f aca="false">(2*H20+K20)/3</f>
        <v>6.86152734404865</v>
      </c>
      <c r="O20" s="20" t="n">
        <f aca="false">(2*I20+L20)/3</f>
        <v>4.7648844434649</v>
      </c>
      <c r="P20" s="20" t="n">
        <f aca="false">IF(AND(M20&gt;=4,N20&gt;=4,O20&gt;=4),M20/3+N20/3+O20/3,MIN(M20,N20,O20))</f>
        <v>5.87547059583785</v>
      </c>
      <c r="Q20" s="21"/>
      <c r="R20" s="21" t="n">
        <f aca="false">IF(AND(P20&gt;=5,ISBLANK(Q20)),P20,(P20+Q20)/2)</f>
        <v>5.87547059583785</v>
      </c>
      <c r="S20" s="11"/>
      <c r="T20" s="18" t="str">
        <f aca="false">C20</f>
        <v>Lucas Piscello Cosme</v>
      </c>
    </row>
    <row r="21" customFormat="false" ht="12.8" hidden="false" customHeight="false" outlineLevel="0" collapsed="false">
      <c r="A21" s="9" t="n">
        <f aca="false">A20+1</f>
        <v>19</v>
      </c>
      <c r="B21" s="4" t="n">
        <f aca="false">MC346A!A15</f>
        <v>138771</v>
      </c>
      <c r="C21" s="18" t="str">
        <f aca="false">MC346A!B15</f>
        <v>Luiz Antonio Andia</v>
      </c>
      <c r="D21" s="19" t="n">
        <f aca="false">MC346A!C15</f>
        <v>42</v>
      </c>
      <c r="E21" s="4" t="str">
        <f aca="false">MC346A!D15</f>
        <v>G</v>
      </c>
      <c r="F21" s="4" t="n">
        <f aca="false">MC346A!F15</f>
        <v>0</v>
      </c>
      <c r="G21" s="20" t="n">
        <f aca="false">'Prova Prolog'!I15</f>
        <v>4.1</v>
      </c>
      <c r="H21" s="20" t="n">
        <f aca="false">'Prova Haskell'!I15</f>
        <v>2.5</v>
      </c>
      <c r="I21" s="20" t="n">
        <f aca="false">'Prova Python'!I15</f>
        <v>5.3</v>
      </c>
      <c r="J21" s="20" t="n">
        <f aca="false">'Desafio Prolog'!O20</f>
        <v>8.2664329004329</v>
      </c>
      <c r="K21" s="20" t="n">
        <f aca="false">'Desafio Haskell'!P20</f>
        <v>4.21505751020581</v>
      </c>
      <c r="L21" s="20" t="n">
        <f aca="false">'Desafio Python'!P20</f>
        <v>7.50898778359511</v>
      </c>
      <c r="M21" s="20" t="n">
        <f aca="false">(2*G21+J21)/3</f>
        <v>5.48881096681097</v>
      </c>
      <c r="N21" s="20" t="n">
        <f aca="false">(2*H21+K21)/3</f>
        <v>3.07168583673527</v>
      </c>
      <c r="O21" s="20" t="n">
        <f aca="false">(2*I21+L21)/3</f>
        <v>6.03632926119837</v>
      </c>
      <c r="P21" s="20" t="n">
        <f aca="false">IF(AND(M21&gt;=4,N21&gt;=4,O21&gt;=4),M21/3+N21/3+O21/3,MIN(M21,N21,O21))</f>
        <v>3.07168583673527</v>
      </c>
      <c r="Q21" s="21" t="n">
        <f aca="false">Exame!I15</f>
        <v>6.9</v>
      </c>
      <c r="R21" s="21" t="n">
        <v>5</v>
      </c>
      <c r="S21" s="11"/>
      <c r="T21" s="18" t="str">
        <f aca="false">C21</f>
        <v>Luiz Antonio Andia</v>
      </c>
    </row>
    <row r="22" customFormat="false" ht="12.8" hidden="false" customHeight="false" outlineLevel="0" collapsed="false">
      <c r="A22" s="9" t="n">
        <f aca="false">A21+1</f>
        <v>20</v>
      </c>
      <c r="B22" s="4" t="n">
        <f aca="false">MC346A!A16</f>
        <v>145510</v>
      </c>
      <c r="C22" s="18" t="str">
        <f aca="false">MC346A!B16</f>
        <v>Bruno Eiji Okano Yoshida</v>
      </c>
      <c r="D22" s="19" t="n">
        <f aca="false">MC346A!C16</f>
        <v>49</v>
      </c>
      <c r="E22" s="4" t="str">
        <f aca="false">MC346A!D16</f>
        <v>G</v>
      </c>
      <c r="F22" s="4" t="str">
        <f aca="false">MC346A!F16</f>
        <v>  </v>
      </c>
      <c r="G22" s="20" t="n">
        <f aca="false">'Prova Prolog'!I16</f>
        <v>2.5</v>
      </c>
      <c r="H22" s="20" t="n">
        <f aca="false">'Prova Haskell'!I16</f>
        <v>0</v>
      </c>
      <c r="I22" s="20" t="n">
        <f aca="false">'Prova Python'!I16</f>
        <v>0</v>
      </c>
      <c r="J22" s="20" t="n">
        <f aca="false">'Desafio Prolog'!O21</f>
        <v>0</v>
      </c>
      <c r="K22" s="20" t="n">
        <f aca="false">'Desafio Haskell'!P21</f>
        <v>0</v>
      </c>
      <c r="L22" s="20" t="n">
        <f aca="false">'Desafio Python'!P21</f>
        <v>0</v>
      </c>
      <c r="M22" s="20" t="n">
        <f aca="false">(2*G22+J22)/3</f>
        <v>1.66666666666667</v>
      </c>
      <c r="N22" s="20" t="n">
        <f aca="false">(2*H22+K22)/3</f>
        <v>0</v>
      </c>
      <c r="O22" s="20" t="n">
        <f aca="false">(2*I22+L22)/3</f>
        <v>0</v>
      </c>
      <c r="P22" s="20" t="n">
        <f aca="false">IF(AND(M22&gt;=4,N22&gt;=4,O22&gt;=4),M22/3+N22/3+O22/3,MIN(M22,N22,O22))</f>
        <v>0</v>
      </c>
      <c r="Q22" s="21"/>
      <c r="R22" s="21" t="n">
        <f aca="false">IF(AND(P22&gt;=5,ISBLANK(Q22)),P22,(P22+Q22)/2)</f>
        <v>0</v>
      </c>
      <c r="S22" s="11"/>
      <c r="T22" s="18" t="str">
        <f aca="false">C22</f>
        <v>Bruno Eiji Okano Yoshida</v>
      </c>
    </row>
    <row r="23" customFormat="false" ht="12.8" hidden="false" customHeight="false" outlineLevel="0" collapsed="false">
      <c r="A23" s="9" t="n">
        <f aca="false">A22+1</f>
        <v>21</v>
      </c>
      <c r="B23" s="4" t="n">
        <f aca="false">MC346A!A17</f>
        <v>145552</v>
      </c>
      <c r="C23" s="18" t="str">
        <f aca="false">MC346A!B17</f>
        <v>Caio Cerruti Gonçalves</v>
      </c>
      <c r="D23" s="19" t="n">
        <f aca="false">MC346A!C17</f>
        <v>42</v>
      </c>
      <c r="E23" s="4" t="str">
        <f aca="false">MC346A!D17</f>
        <v>G</v>
      </c>
      <c r="F23" s="4" t="str">
        <f aca="false">MC346A!F17</f>
        <v>  </v>
      </c>
      <c r="G23" s="20" t="n">
        <f aca="false">'Prova Prolog'!I17</f>
        <v>3</v>
      </c>
      <c r="H23" s="20" t="n">
        <f aca="false">'Prova Haskell'!I17</f>
        <v>4.3</v>
      </c>
      <c r="I23" s="20" t="n">
        <f aca="false">'Prova Python'!I17</f>
        <v>3</v>
      </c>
      <c r="J23" s="20" t="n">
        <f aca="false">'Desafio Prolog'!O22</f>
        <v>6.07849336975303</v>
      </c>
      <c r="K23" s="20" t="n">
        <f aca="false">'Desafio Haskell'!P22</f>
        <v>5.34415040211984</v>
      </c>
      <c r="L23" s="20" t="n">
        <f aca="false">'Desafio Python'!P22</f>
        <v>5.08053584491587</v>
      </c>
      <c r="M23" s="20" t="n">
        <f aca="false">(2*G23+J23)/3</f>
        <v>4.02616445658434</v>
      </c>
      <c r="N23" s="20" t="n">
        <f aca="false">(2*H23+K23)/3</f>
        <v>4.64805013403995</v>
      </c>
      <c r="O23" s="20" t="n">
        <f aca="false">(2*I23+L23)/3</f>
        <v>3.69351194830529</v>
      </c>
      <c r="P23" s="20" t="n">
        <f aca="false">IF(AND(M23&gt;=4,N23&gt;=4,O23&gt;=4),M23/3+N23/3+O23/3,MIN(M23,N23,O23))</f>
        <v>3.69351194830529</v>
      </c>
      <c r="Q23" s="21" t="n">
        <f aca="false">Exame!I17</f>
        <v>6.3</v>
      </c>
      <c r="R23" s="21" t="n">
        <f aca="false">IF(AND(P23&gt;=5,ISBLANK(Q23)),P23,ROUND((P23+Q23)/2,0))</f>
        <v>5</v>
      </c>
      <c r="S23" s="11"/>
      <c r="T23" s="18" t="str">
        <f aca="false">C23</f>
        <v>Caio Cerruti Gonçalves</v>
      </c>
    </row>
    <row r="24" customFormat="false" ht="12.8" hidden="false" customHeight="false" outlineLevel="0" collapsed="false">
      <c r="A24" s="9" t="n">
        <f aca="false">A23+1</f>
        <v>22</v>
      </c>
      <c r="B24" s="4" t="n">
        <f aca="false">MC346A!A18</f>
        <v>145763</v>
      </c>
      <c r="C24" s="18" t="str">
        <f aca="false">MC346A!B18</f>
        <v>Daniel dos Santos Pedroso</v>
      </c>
      <c r="D24" s="19" t="n">
        <f aca="false">MC346A!C18</f>
        <v>49</v>
      </c>
      <c r="E24" s="4" t="str">
        <f aca="false">MC346A!D18</f>
        <v>G</v>
      </c>
      <c r="F24" s="4" t="str">
        <f aca="false">MC346A!F18</f>
        <v>  </v>
      </c>
      <c r="G24" s="20" t="n">
        <f aca="false">'Prova Prolog'!I18</f>
        <v>1</v>
      </c>
      <c r="H24" s="20" t="n">
        <f aca="false">'Prova Haskell'!I18</f>
        <v>0</v>
      </c>
      <c r="I24" s="20" t="n">
        <f aca="false">'Prova Python'!I18</f>
        <v>0</v>
      </c>
      <c r="J24" s="20" t="n">
        <f aca="false">'Desafio Prolog'!O23</f>
        <v>0</v>
      </c>
      <c r="K24" s="20" t="n">
        <f aca="false">'Desafio Haskell'!P23</f>
        <v>0</v>
      </c>
      <c r="L24" s="20" t="n">
        <f aca="false">'Desafio Python'!P23</f>
        <v>0</v>
      </c>
      <c r="M24" s="20" t="n">
        <f aca="false">(2*G24+J24)/3</f>
        <v>0.666666666666667</v>
      </c>
      <c r="N24" s="20" t="n">
        <f aca="false">(2*H24+K24)/3</f>
        <v>0</v>
      </c>
      <c r="O24" s="20" t="n">
        <f aca="false">(2*I24+L24)/3</f>
        <v>0</v>
      </c>
      <c r="P24" s="20" t="n">
        <f aca="false">IF(AND(M24&gt;=4,N24&gt;=4,O24&gt;=4),M24/3+N24/3+O24/3,MIN(M24,N24,O24))</f>
        <v>0</v>
      </c>
      <c r="Q24" s="21"/>
      <c r="R24" s="21" t="n">
        <f aca="false">IF(AND(P24&gt;=5,ISBLANK(Q24)),P24,(P24+Q24)/2)</f>
        <v>0</v>
      </c>
      <c r="S24" s="11"/>
      <c r="T24" s="18" t="str">
        <f aca="false">C24</f>
        <v>Daniel dos Santos Pedroso</v>
      </c>
    </row>
    <row r="25" customFormat="false" ht="12.8" hidden="false" customHeight="false" outlineLevel="0" collapsed="false">
      <c r="A25" s="9" t="n">
        <f aca="false">A24+1</f>
        <v>23</v>
      </c>
      <c r="B25" s="4" t="n">
        <f aca="false">MC346A!A19</f>
        <v>146040</v>
      </c>
      <c r="C25" s="18" t="str">
        <f aca="false">MC346A!B19</f>
        <v>Felipe Soares Pires de Carvalho</v>
      </c>
      <c r="D25" s="19" t="n">
        <f aca="false">MC346A!C19</f>
        <v>42</v>
      </c>
      <c r="E25" s="4" t="str">
        <f aca="false">MC346A!D19</f>
        <v>G</v>
      </c>
      <c r="F25" s="4" t="str">
        <f aca="false">MC346A!F19</f>
        <v>  </v>
      </c>
      <c r="G25" s="20" t="n">
        <f aca="false">'Prova Prolog'!I19</f>
        <v>5.7</v>
      </c>
      <c r="H25" s="20" t="n">
        <f aca="false">'Prova Haskell'!I19</f>
        <v>4.5</v>
      </c>
      <c r="I25" s="20" t="n">
        <f aca="false">'Prova Python'!I19</f>
        <v>5</v>
      </c>
      <c r="J25" s="20" t="n">
        <f aca="false">'Desafio Prolog'!O24</f>
        <v>7.30819626305723</v>
      </c>
      <c r="K25" s="20" t="n">
        <f aca="false">'Desafio Haskell'!P24</f>
        <v>6.47202061458846</v>
      </c>
      <c r="L25" s="20" t="n">
        <f aca="false">'Desafio Python'!P24</f>
        <v>7.08058281296461</v>
      </c>
      <c r="M25" s="20" t="n">
        <f aca="false">(2*G25+J25)/3</f>
        <v>6.23606542101908</v>
      </c>
      <c r="N25" s="20" t="n">
        <f aca="false">(2*H25+K25)/3</f>
        <v>5.15734020486282</v>
      </c>
      <c r="O25" s="20" t="n">
        <f aca="false">(2*I25+L25)/3</f>
        <v>5.69352760432154</v>
      </c>
      <c r="P25" s="20" t="n">
        <f aca="false">IF(AND(M25&gt;=4,N25&gt;=4,O25&gt;=4),M25/3+N25/3+O25/3,MIN(M25,N25,O25))</f>
        <v>5.69564441006781</v>
      </c>
      <c r="Q25" s="21"/>
      <c r="R25" s="21" t="n">
        <f aca="false">IF(AND(P25&gt;=5,ISBLANK(Q25)),P25,(P25+Q25)/2)</f>
        <v>5.69564441006781</v>
      </c>
      <c r="S25" s="11"/>
      <c r="T25" s="18" t="str">
        <f aca="false">C25</f>
        <v>Felipe Soares Pires de Carvalho</v>
      </c>
    </row>
    <row r="26" customFormat="false" ht="12.8" hidden="false" customHeight="false" outlineLevel="0" collapsed="false">
      <c r="A26" s="9" t="n">
        <f aca="false">A25+1</f>
        <v>24</v>
      </c>
      <c r="B26" s="4" t="n">
        <f aca="false">MC346A!A20</f>
        <v>146098</v>
      </c>
      <c r="C26" s="18" t="str">
        <f aca="false">MC346A!B20</f>
        <v>Flavio Matheus Muniz Ribeiro da Silva</v>
      </c>
      <c r="D26" s="19" t="n">
        <f aca="false">MC346A!C20</f>
        <v>34</v>
      </c>
      <c r="E26" s="4" t="str">
        <f aca="false">MC346A!D20</f>
        <v>G</v>
      </c>
      <c r="F26" s="4" t="str">
        <f aca="false">MC346A!F20</f>
        <v>AA</v>
      </c>
      <c r="G26" s="20" t="n">
        <f aca="false">'Prova Prolog'!I20</f>
        <v>8.5</v>
      </c>
      <c r="H26" s="20" t="n">
        <f aca="false">'Prova Haskell'!I20</f>
        <v>5.9</v>
      </c>
      <c r="I26" s="20" t="n">
        <f aca="false">'Prova Python'!I20</f>
        <v>6</v>
      </c>
      <c r="J26" s="20" t="n">
        <f aca="false">'Desafio Prolog'!O25</f>
        <v>6.44496739130435</v>
      </c>
      <c r="K26" s="20" t="n">
        <f aca="false">'Desafio Haskell'!P25</f>
        <v>9.43381791518707</v>
      </c>
      <c r="L26" s="20" t="n">
        <f aca="false">'Desafio Python'!P25</f>
        <v>8.16915750196386</v>
      </c>
      <c r="M26" s="20" t="n">
        <f aca="false">(2*G26+J26)/3</f>
        <v>7.81498913043478</v>
      </c>
      <c r="N26" s="20" t="n">
        <f aca="false">(2*H26+K26)/3</f>
        <v>7.07793930506236</v>
      </c>
      <c r="O26" s="20" t="n">
        <f aca="false">(2*I26+L26)/3</f>
        <v>6.72305250065462</v>
      </c>
      <c r="P26" s="20" t="n">
        <f aca="false">IF(AND(M26&gt;=4,N26&gt;=4,O26&gt;=4),M26/3+N26/3+O26/3,MIN(M26,N26,O26))</f>
        <v>7.20532697871725</v>
      </c>
      <c r="Q26" s="21"/>
      <c r="R26" s="21" t="n">
        <f aca="false">IF(AND(P26&gt;=5,ISBLANK(Q26)),P26,(P26+Q26)/2)</f>
        <v>7.20532697871725</v>
      </c>
      <c r="S26" s="11"/>
      <c r="T26" s="18" t="str">
        <f aca="false">C26</f>
        <v>Flavio Matheus Muniz Ribeiro da Silva</v>
      </c>
    </row>
    <row r="27" customFormat="false" ht="12.8" hidden="false" customHeight="false" outlineLevel="0" collapsed="false">
      <c r="A27" s="9" t="n">
        <f aca="false">A26+1</f>
        <v>25</v>
      </c>
      <c r="B27" s="4" t="n">
        <f aca="false">MC346A!A21</f>
        <v>146310</v>
      </c>
      <c r="C27" s="18" t="str">
        <f aca="false">MC346A!B21</f>
        <v>Guilherme Pereira Gribeler</v>
      </c>
      <c r="D27" s="19" t="n">
        <f aca="false">MC346A!C21</f>
        <v>34</v>
      </c>
      <c r="E27" s="4" t="str">
        <f aca="false">MC346A!D21</f>
        <v>G</v>
      </c>
      <c r="F27" s="4" t="str">
        <f aca="false">MC346A!F21</f>
        <v>AA</v>
      </c>
      <c r="G27" s="20" t="n">
        <f aca="false">'Prova Prolog'!I21</f>
        <v>7</v>
      </c>
      <c r="H27" s="20" t="n">
        <f aca="false">'Prova Haskell'!I21</f>
        <v>5</v>
      </c>
      <c r="I27" s="20" t="n">
        <f aca="false">'Prova Python'!I21</f>
        <v>9.3</v>
      </c>
      <c r="J27" s="20" t="n">
        <f aca="false">'Desafio Prolog'!O26</f>
        <v>7.04127809880361</v>
      </c>
      <c r="K27" s="20" t="n">
        <f aca="false">'Desafio Haskell'!P26</f>
        <v>9.70619846995402</v>
      </c>
      <c r="L27" s="20" t="n">
        <f aca="false">'Desafio Python'!P26</f>
        <v>9.16806680161943</v>
      </c>
      <c r="M27" s="20" t="n">
        <f aca="false">(2*G27+J27)/3</f>
        <v>7.01375936626787</v>
      </c>
      <c r="N27" s="20" t="n">
        <f aca="false">(2*H27+K27)/3</f>
        <v>6.56873282331801</v>
      </c>
      <c r="O27" s="20" t="n">
        <f aca="false">(2*I27+L27)/3</f>
        <v>9.25602226720648</v>
      </c>
      <c r="P27" s="20" t="n">
        <f aca="false">IF(AND(M27&gt;=4,N27&gt;=4,O27&gt;=4),M27/3+N27/3+O27/3,MIN(M27,N27,O27))</f>
        <v>7.61283815226412</v>
      </c>
      <c r="Q27" s="21"/>
      <c r="R27" s="21" t="n">
        <f aca="false">IF(AND(P27&gt;=5,ISBLANK(Q27)),P27,(P27+Q27)/2)</f>
        <v>7.61283815226412</v>
      </c>
      <c r="S27" s="11"/>
      <c r="T27" s="18" t="str">
        <f aca="false">C27</f>
        <v>Guilherme Pereira Gribeler</v>
      </c>
    </row>
    <row r="28" customFormat="false" ht="12.8" hidden="false" customHeight="false" outlineLevel="0" collapsed="false">
      <c r="A28" s="9" t="n">
        <f aca="false">A27+1</f>
        <v>26</v>
      </c>
      <c r="B28" s="4" t="n">
        <f aca="false">MC346A!A22</f>
        <v>146318</v>
      </c>
      <c r="C28" s="18" t="str">
        <f aca="false">MC346A!B22</f>
        <v>Guilherme Rodrigues Bueno</v>
      </c>
      <c r="D28" s="19" t="n">
        <f aca="false">MC346A!C22</f>
        <v>42</v>
      </c>
      <c r="E28" s="4" t="str">
        <f aca="false">MC346A!D22</f>
        <v>G</v>
      </c>
      <c r="F28" s="4" t="str">
        <f aca="false">MC346A!F22</f>
        <v>  </v>
      </c>
      <c r="G28" s="20" t="n">
        <f aca="false">'Prova Prolog'!I22</f>
        <v>4</v>
      </c>
      <c r="H28" s="20" t="n">
        <f aca="false">'Prova Haskell'!I22</f>
        <v>3</v>
      </c>
      <c r="I28" s="20" t="n">
        <f aca="false">'Prova Python'!I22</f>
        <v>5.3</v>
      </c>
      <c r="J28" s="20" t="n">
        <f aca="false">'Desafio Prolog'!O27</f>
        <v>0</v>
      </c>
      <c r="K28" s="20" t="n">
        <f aca="false">'Desafio Haskell'!P27</f>
        <v>0</v>
      </c>
      <c r="L28" s="20" t="n">
        <f aca="false">'Desafio Python'!P27</f>
        <v>0</v>
      </c>
      <c r="M28" s="20" t="n">
        <f aca="false">(2*G28+J28)/3</f>
        <v>2.66666666666667</v>
      </c>
      <c r="N28" s="20" t="n">
        <f aca="false">(2*H28+K28)/3</f>
        <v>2</v>
      </c>
      <c r="O28" s="20" t="n">
        <f aca="false">(2*I28+L28)/3</f>
        <v>3.53333333333333</v>
      </c>
      <c r="P28" s="20" t="n">
        <f aca="false">IF(AND(M28&gt;=4,N28&gt;=4,O28&gt;=4),M28/3+N28/3+O28/3,MIN(M28,N28,O28))</f>
        <v>2</v>
      </c>
      <c r="Q28" s="21" t="n">
        <f aca="false">Exame!I22</f>
        <v>0</v>
      </c>
      <c r="R28" s="21" t="n">
        <f aca="false">IF(AND(P28&gt;=5,ISBLANK(Q28)),P28,(P28+Q28)/2)</f>
        <v>1</v>
      </c>
      <c r="S28" s="11"/>
      <c r="T28" s="18" t="str">
        <f aca="false">C28</f>
        <v>Guilherme Rodrigues Bueno</v>
      </c>
    </row>
    <row r="29" customFormat="false" ht="12.8" hidden="false" customHeight="false" outlineLevel="0" collapsed="false">
      <c r="A29" s="9" t="n">
        <f aca="false">A28+1</f>
        <v>27</v>
      </c>
      <c r="B29" s="4" t="n">
        <f aca="false">MC346A!A23</f>
        <v>146383</v>
      </c>
      <c r="C29" s="18" t="str">
        <f aca="false">MC346A!B23</f>
        <v>Heitor Banhete Raymundo</v>
      </c>
      <c r="D29" s="19" t="n">
        <f aca="false">MC346A!C23</f>
        <v>42</v>
      </c>
      <c r="E29" s="4" t="str">
        <f aca="false">MC346A!D23</f>
        <v>G</v>
      </c>
      <c r="F29" s="4" t="str">
        <f aca="false">MC346A!F23</f>
        <v>  </v>
      </c>
      <c r="G29" s="20" t="n">
        <f aca="false">'Prova Prolog'!I23</f>
        <v>1.2</v>
      </c>
      <c r="H29" s="20" t="n">
        <f aca="false">'Prova Haskell'!I23</f>
        <v>0</v>
      </c>
      <c r="I29" s="20" t="n">
        <f aca="false">'Prova Python'!I23</f>
        <v>0</v>
      </c>
      <c r="J29" s="20" t="n">
        <f aca="false">'Desafio Prolog'!O28</f>
        <v>0</v>
      </c>
      <c r="K29" s="20" t="n">
        <f aca="false">'Desafio Haskell'!P28</f>
        <v>0</v>
      </c>
      <c r="L29" s="20" t="n">
        <f aca="false">'Desafio Python'!P28</f>
        <v>0</v>
      </c>
      <c r="M29" s="20" t="n">
        <f aca="false">(2*G29+J29)/3</f>
        <v>0.8</v>
      </c>
      <c r="N29" s="20" t="n">
        <f aca="false">(2*H29+K29)/3</f>
        <v>0</v>
      </c>
      <c r="O29" s="20" t="n">
        <f aca="false">(2*I29+L29)/3</f>
        <v>0</v>
      </c>
      <c r="P29" s="20" t="n">
        <f aca="false">IF(AND(M29&gt;=4,N29&gt;=4,O29&gt;=4),M29/3+N29/3+O29/3,MIN(M29,N29,O29))</f>
        <v>0</v>
      </c>
      <c r="Q29" s="21"/>
      <c r="R29" s="21" t="n">
        <f aca="false">IF(AND(P29&gt;=5,ISBLANK(Q29)),P29,(P29+Q29)/2)</f>
        <v>0</v>
      </c>
      <c r="S29" s="11"/>
      <c r="T29" s="18" t="str">
        <f aca="false">C29</f>
        <v>Heitor Banhete Raymundo</v>
      </c>
    </row>
    <row r="30" customFormat="false" ht="12.8" hidden="false" customHeight="false" outlineLevel="0" collapsed="false">
      <c r="A30" s="9" t="n">
        <f aca="false">A29+1</f>
        <v>28</v>
      </c>
      <c r="B30" s="4" t="n">
        <f aca="false">MC346A!A24</f>
        <v>146752</v>
      </c>
      <c r="C30" s="18" t="str">
        <f aca="false">MC346A!B24</f>
        <v>Julio Barros de Paula</v>
      </c>
      <c r="D30" s="19" t="n">
        <f aca="false">MC346A!C24</f>
        <v>42</v>
      </c>
      <c r="E30" s="4" t="str">
        <f aca="false">MC346A!D24</f>
        <v>G</v>
      </c>
      <c r="F30" s="4" t="str">
        <f aca="false">MC346A!F24</f>
        <v>  </v>
      </c>
      <c r="G30" s="20" t="n">
        <f aca="false">'Prova Prolog'!I24</f>
        <v>7.3</v>
      </c>
      <c r="H30" s="20" t="n">
        <f aca="false">'Prova Haskell'!I24</f>
        <v>4.6</v>
      </c>
      <c r="I30" s="20" t="n">
        <f aca="false">'Prova Python'!I24</f>
        <v>0</v>
      </c>
      <c r="J30" s="20" t="n">
        <f aca="false">'Desafio Prolog'!O29</f>
        <v>6.10826016260163</v>
      </c>
      <c r="K30" s="20" t="n">
        <f aca="false">'Desafio Haskell'!P29</f>
        <v>0</v>
      </c>
      <c r="L30" s="20" t="n">
        <f aca="false">'Desafio Python'!P29</f>
        <v>0</v>
      </c>
      <c r="M30" s="20" t="n">
        <f aca="false">(2*G30+J30)/3</f>
        <v>6.90275338753388</v>
      </c>
      <c r="N30" s="20" t="n">
        <f aca="false">(2*H30+K30)/3</f>
        <v>3.06666666666667</v>
      </c>
      <c r="O30" s="20" t="n">
        <f aca="false">(2*I30+L30)/3</f>
        <v>0</v>
      </c>
      <c r="P30" s="20" t="n">
        <f aca="false">IF(AND(M30&gt;=4,N30&gt;=4,O30&gt;=4),M30/3+N30/3+O30/3,MIN(M30,N30,O30))</f>
        <v>0</v>
      </c>
      <c r="Q30" s="21"/>
      <c r="R30" s="21" t="n">
        <f aca="false">IF(AND(P30&gt;=5,ISBLANK(Q30)),P30,(P30+Q30)/2)</f>
        <v>0</v>
      </c>
      <c r="S30" s="11"/>
      <c r="T30" s="18" t="str">
        <f aca="false">C30</f>
        <v>Julio Barros de Paula</v>
      </c>
    </row>
    <row r="31" customFormat="false" ht="12.8" hidden="false" customHeight="false" outlineLevel="0" collapsed="false">
      <c r="A31" s="9" t="n">
        <f aca="false">A30+1</f>
        <v>29</v>
      </c>
      <c r="B31" s="4" t="n">
        <f aca="false">MC346A!A25</f>
        <v>147338</v>
      </c>
      <c r="C31" s="18" t="str">
        <f aca="false">MC346A!B25</f>
        <v>Mateus Augusto Bellomo Agrello Ruivo</v>
      </c>
      <c r="D31" s="19" t="n">
        <f aca="false">MC346A!C25</f>
        <v>42</v>
      </c>
      <c r="E31" s="4" t="str">
        <f aca="false">MC346A!D25</f>
        <v>G</v>
      </c>
      <c r="F31" s="4" t="str">
        <f aca="false">MC346A!F25</f>
        <v>  </v>
      </c>
      <c r="G31" s="20" t="n">
        <f aca="false">'Prova Prolog'!I25</f>
        <v>9</v>
      </c>
      <c r="H31" s="20" t="n">
        <f aca="false">'Prova Haskell'!I25</f>
        <v>6.4</v>
      </c>
      <c r="I31" s="20" t="n">
        <f aca="false">'Prova Python'!I25</f>
        <v>9.6</v>
      </c>
      <c r="J31" s="20" t="n">
        <f aca="false">'Desafio Prolog'!O30</f>
        <v>10</v>
      </c>
      <c r="K31" s="20" t="n">
        <f aca="false">'Desafio Haskell'!P30</f>
        <v>9.30619846995402</v>
      </c>
      <c r="L31" s="20" t="n">
        <f aca="false">'Desafio Python'!P30</f>
        <v>8.6671052631579</v>
      </c>
      <c r="M31" s="20" t="n">
        <f aca="false">(2*G31+J31)/3</f>
        <v>9.33333333333333</v>
      </c>
      <c r="N31" s="20" t="n">
        <f aca="false">(2*H31+K31)/3</f>
        <v>7.36873282331801</v>
      </c>
      <c r="O31" s="20" t="n">
        <f aca="false">(2*I31+L31)/3</f>
        <v>9.2890350877193</v>
      </c>
      <c r="P31" s="20" t="n">
        <f aca="false">IF(AND(M31&gt;=4,N31&gt;=4,O31&gt;=4),M31/3+N31/3+O31/3,MIN(M31,N31,O31))</f>
        <v>8.66370041479021</v>
      </c>
      <c r="Q31" s="21"/>
      <c r="R31" s="21" t="n">
        <f aca="false">IF(AND(P31&gt;=5,ISBLANK(Q31)),P31,(P31+Q31)/2)</f>
        <v>8.66370041479021</v>
      </c>
      <c r="S31" s="11"/>
      <c r="T31" s="18" t="str">
        <f aca="false">C31</f>
        <v>Mateus Augusto Bellomo Agrello Ruivo</v>
      </c>
    </row>
    <row r="32" customFormat="false" ht="12.8" hidden="false" customHeight="false" outlineLevel="0" collapsed="false">
      <c r="A32" s="9" t="n">
        <f aca="false">A31+1</f>
        <v>30</v>
      </c>
      <c r="B32" s="4" t="n">
        <f aca="false">MC346A!A26</f>
        <v>148246</v>
      </c>
      <c r="C32" s="18" t="str">
        <f aca="false">MC346A!B26</f>
        <v>Wilson Novais Martins</v>
      </c>
      <c r="D32" s="19" t="n">
        <f aca="false">MC346A!C26</f>
        <v>42</v>
      </c>
      <c r="E32" s="4" t="str">
        <f aca="false">MC346A!D26</f>
        <v>G</v>
      </c>
      <c r="F32" s="4" t="str">
        <f aca="false">MC346A!F26</f>
        <v>  </v>
      </c>
      <c r="G32" s="20" t="n">
        <f aca="false">'Prova Prolog'!I26</f>
        <v>4</v>
      </c>
      <c r="H32" s="20" t="n">
        <f aca="false">'Prova Haskell'!I26</f>
        <v>5.5</v>
      </c>
      <c r="I32" s="20" t="n">
        <f aca="false">'Prova Python'!I26</f>
        <v>3.8</v>
      </c>
      <c r="J32" s="20" t="n">
        <f aca="false">'Desafio Prolog'!O31</f>
        <v>7.01185618110527</v>
      </c>
      <c r="K32" s="20" t="n">
        <f aca="false">'Desafio Haskell'!P31</f>
        <v>7.47202061458846</v>
      </c>
      <c r="L32" s="20" t="n">
        <f aca="false">'Desafio Python'!P31</f>
        <v>7.8960407239819</v>
      </c>
      <c r="M32" s="20" t="n">
        <f aca="false">(2*G32+J32)/3</f>
        <v>5.00395206036843</v>
      </c>
      <c r="N32" s="20" t="n">
        <f aca="false">(2*H32+K32)/3</f>
        <v>6.15734020486282</v>
      </c>
      <c r="O32" s="20" t="n">
        <f aca="false">(2*I32+L32)/3</f>
        <v>5.16534690799397</v>
      </c>
      <c r="P32" s="20" t="n">
        <f aca="false">IF(AND(M32&gt;=4,N32&gt;=4,O32&gt;=4),M32/3+N32/3+O32/3,MIN(M32,N32,O32))</f>
        <v>5.44221305774174</v>
      </c>
      <c r="Q32" s="21"/>
      <c r="R32" s="21" t="n">
        <f aca="false">IF(AND(P32&gt;=5,ISBLANK(Q32)),P32,(P32+Q32)/2)</f>
        <v>5.44221305774174</v>
      </c>
      <c r="S32" s="11"/>
      <c r="T32" s="18" t="str">
        <f aca="false">C32</f>
        <v>Wilson Novais Martins</v>
      </c>
    </row>
    <row r="33" customFormat="false" ht="12.8" hidden="false" customHeight="false" outlineLevel="0" collapsed="false">
      <c r="A33" s="9" t="n">
        <f aca="false">A32+1</f>
        <v>31</v>
      </c>
      <c r="B33" s="4" t="n">
        <f aca="false">MC346A!A27</f>
        <v>148387</v>
      </c>
      <c r="C33" s="18" t="str">
        <f aca="false">MC346A!B27</f>
        <v>Bruno Masetto Sander</v>
      </c>
      <c r="D33" s="19" t="n">
        <f aca="false">MC346A!C27</f>
        <v>42</v>
      </c>
      <c r="E33" s="4" t="str">
        <f aca="false">MC346A!D27</f>
        <v>G</v>
      </c>
      <c r="F33" s="4" t="str">
        <f aca="false">MC346A!F27</f>
        <v>  </v>
      </c>
      <c r="G33" s="20" t="n">
        <f aca="false">'Prova Prolog'!I27</f>
        <v>0</v>
      </c>
      <c r="H33" s="20" t="n">
        <f aca="false">'Prova Haskell'!I27</f>
        <v>0</v>
      </c>
      <c r="I33" s="20" t="n">
        <f aca="false">'Prova Python'!I27</f>
        <v>0</v>
      </c>
      <c r="J33" s="20" t="n">
        <f aca="false">'Desafio Prolog'!O32</f>
        <v>0</v>
      </c>
      <c r="K33" s="20" t="n">
        <f aca="false">'Desafio Haskell'!P32</f>
        <v>0</v>
      </c>
      <c r="L33" s="20" t="n">
        <f aca="false">'Desafio Python'!P32</f>
        <v>0</v>
      </c>
      <c r="M33" s="20" t="n">
        <f aca="false">(2*G33+J33)/3</f>
        <v>0</v>
      </c>
      <c r="N33" s="20" t="n">
        <f aca="false">(2*H33+K33)/3</f>
        <v>0</v>
      </c>
      <c r="O33" s="20" t="n">
        <f aca="false">(2*I33+L33)/3</f>
        <v>0</v>
      </c>
      <c r="P33" s="20" t="n">
        <f aca="false">IF(AND(M33&gt;=4,N33&gt;=4,O33&gt;=4),M33/3+N33/3+O33/3,MIN(M33,N33,O33))</f>
        <v>0</v>
      </c>
      <c r="Q33" s="21"/>
      <c r="R33" s="21" t="n">
        <f aca="false">IF(AND(P33&gt;=5,ISBLANK(Q33)),P33,(P33+Q33)/2)</f>
        <v>0</v>
      </c>
      <c r="S33" s="11"/>
      <c r="T33" s="18" t="str">
        <f aca="false">C33</f>
        <v>Bruno Masetto Sander</v>
      </c>
    </row>
    <row r="34" customFormat="false" ht="12.8" hidden="false" customHeight="false" outlineLevel="0" collapsed="false">
      <c r="A34" s="9" t="n">
        <f aca="false">A33+1</f>
        <v>32</v>
      </c>
      <c r="B34" s="4" t="n">
        <f aca="false">MC346A!A28</f>
        <v>149014</v>
      </c>
      <c r="C34" s="18" t="str">
        <f aca="false">MC346A!B28</f>
        <v>Tiago Abreu Munarolo</v>
      </c>
      <c r="D34" s="19" t="n">
        <f aca="false">MC346A!C28</f>
        <v>34</v>
      </c>
      <c r="E34" s="4" t="str">
        <f aca="false">MC346A!D28</f>
        <v>G</v>
      </c>
      <c r="F34" s="4" t="str">
        <f aca="false">MC346A!F28</f>
        <v>AB</v>
      </c>
      <c r="G34" s="20" t="n">
        <f aca="false">'Prova Prolog'!I28</f>
        <v>6.8</v>
      </c>
      <c r="H34" s="20" t="n">
        <f aca="false">'Prova Haskell'!I28</f>
        <v>0</v>
      </c>
      <c r="I34" s="20" t="n">
        <f aca="false">'Prova Python'!I28</f>
        <v>0</v>
      </c>
      <c r="J34" s="20" t="n">
        <f aca="false">'Desafio Prolog'!O33</f>
        <v>0</v>
      </c>
      <c r="K34" s="20" t="n">
        <f aca="false">'Desafio Haskell'!P33</f>
        <v>0</v>
      </c>
      <c r="L34" s="20" t="n">
        <f aca="false">'Desafio Python'!P33</f>
        <v>0</v>
      </c>
      <c r="M34" s="20" t="n">
        <f aca="false">(2*G34+J34)/3</f>
        <v>4.53333333333333</v>
      </c>
      <c r="N34" s="20" t="n">
        <f aca="false">(2*H34+K34)/3</f>
        <v>0</v>
      </c>
      <c r="O34" s="20" t="n">
        <f aca="false">(2*I34+L34)/3</f>
        <v>0</v>
      </c>
      <c r="P34" s="20" t="n">
        <f aca="false">IF(AND(M34&gt;=4,N34&gt;=4,O34&gt;=4),M34/3+N34/3+O34/3,MIN(M34,N34,O34))</f>
        <v>0</v>
      </c>
      <c r="Q34" s="21"/>
      <c r="R34" s="21" t="n">
        <v>0</v>
      </c>
      <c r="S34" s="11"/>
      <c r="T34" s="18" t="str">
        <f aca="false">C34</f>
        <v>Tiago Abreu Munarolo</v>
      </c>
    </row>
    <row r="35" customFormat="false" ht="12.8" hidden="false" customHeight="false" outlineLevel="0" collapsed="false">
      <c r="A35" s="9" t="n">
        <f aca="false">A34+1</f>
        <v>33</v>
      </c>
      <c r="B35" s="4" t="n">
        <f aca="false">MC346A!A29</f>
        <v>150604</v>
      </c>
      <c r="C35" s="18" t="str">
        <f aca="false">MC346A!B29</f>
        <v>Denis de Almeida Oliveira</v>
      </c>
      <c r="D35" s="19" t="n">
        <f aca="false">MC346A!C29</f>
        <v>42</v>
      </c>
      <c r="E35" s="4" t="str">
        <f aca="false">MC346A!D29</f>
        <v>G</v>
      </c>
      <c r="F35" s="4" t="str">
        <f aca="false">MC346A!F29</f>
        <v>  </v>
      </c>
      <c r="G35" s="20" t="n">
        <f aca="false">'Prova Prolog'!I29</f>
        <v>6.5</v>
      </c>
      <c r="H35" s="20" t="n">
        <f aca="false">'Prova Haskell'!I29</f>
        <v>5</v>
      </c>
      <c r="I35" s="20" t="n">
        <f aca="false">'Prova Python'!I29</f>
        <v>7.1</v>
      </c>
      <c r="J35" s="20" t="n">
        <f aca="false">'Desafio Prolog'!O34</f>
        <v>5.45923908216136</v>
      </c>
      <c r="K35" s="20" t="n">
        <f aca="false">'Desafio Haskell'!P34</f>
        <v>8.56172259536505</v>
      </c>
      <c r="L35" s="20" t="n">
        <f aca="false">'Desafio Python'!P34</f>
        <v>8.99748605785988</v>
      </c>
      <c r="M35" s="20" t="n">
        <f aca="false">(2*G35+J35)/3</f>
        <v>6.15307969405379</v>
      </c>
      <c r="N35" s="20" t="n">
        <f aca="false">(2*H35+K35)/3</f>
        <v>6.18724086512168</v>
      </c>
      <c r="O35" s="20" t="n">
        <f aca="false">(2*I35+L35)/3</f>
        <v>7.73249535261996</v>
      </c>
      <c r="P35" s="20" t="n">
        <f aca="false">IF(AND(M35&gt;=4,N35&gt;=4,O35&gt;=4),M35/3+N35/3+O35/3,MIN(M35,N35,O35))</f>
        <v>6.69093863726514</v>
      </c>
      <c r="Q35" s="21"/>
      <c r="R35" s="21" t="n">
        <f aca="false">IF(AND(P35&gt;=5,ISBLANK(Q35)),P35,(P35+Q35)/2)</f>
        <v>6.69093863726514</v>
      </c>
      <c r="S35" s="11"/>
      <c r="T35" s="18" t="str">
        <f aca="false">C35</f>
        <v>Denis de Almeida Oliveira</v>
      </c>
    </row>
    <row r="36" customFormat="false" ht="12.8" hidden="false" customHeight="false" outlineLevel="0" collapsed="false">
      <c r="A36" s="9" t="n">
        <f aca="false">A35+1</f>
        <v>34</v>
      </c>
      <c r="B36" s="4" t="n">
        <f aca="false">MC346A!A30</f>
        <v>150630</v>
      </c>
      <c r="C36" s="18" t="str">
        <f aca="false">MC346A!B30</f>
        <v>Gabriel Otero</v>
      </c>
      <c r="D36" s="19" t="n">
        <f aca="false">MC346A!C30</f>
        <v>42</v>
      </c>
      <c r="E36" s="4" t="str">
        <f aca="false">MC346A!D30</f>
        <v>G</v>
      </c>
      <c r="F36" s="4" t="str">
        <f aca="false">MC346A!F30</f>
        <v>  </v>
      </c>
      <c r="G36" s="20" t="n">
        <f aca="false">'Prova Prolog'!I30</f>
        <v>9.4</v>
      </c>
      <c r="H36" s="20" t="n">
        <f aca="false">'Prova Haskell'!I30</f>
        <v>3.4</v>
      </c>
      <c r="I36" s="20" t="n">
        <f aca="false">'Prova Python'!I30</f>
        <v>6.8</v>
      </c>
      <c r="J36" s="20" t="n">
        <f aca="false">'Desafio Prolog'!O35</f>
        <v>7.78733477789816</v>
      </c>
      <c r="K36" s="20" t="n">
        <f aca="false">'Desafio Haskell'!P35</f>
        <v>5.31762722240134</v>
      </c>
      <c r="L36" s="20" t="n">
        <f aca="false">'Desafio Python'!P35</f>
        <v>4.70941817538853</v>
      </c>
      <c r="M36" s="20" t="n">
        <f aca="false">(2*G36+J36)/3</f>
        <v>8.86244492596605</v>
      </c>
      <c r="N36" s="20" t="n">
        <f aca="false">(2*H36+K36)/3</f>
        <v>4.03920907413378</v>
      </c>
      <c r="O36" s="20" t="n">
        <f aca="false">(2*I36+L36)/3</f>
        <v>6.10313939179618</v>
      </c>
      <c r="P36" s="20" t="n">
        <f aca="false">IF(AND(M36&gt;=4,N36&gt;=4,O36&gt;=4),M36/3+N36/3+O36/3,MIN(M36,N36,O36))</f>
        <v>6.334931130632</v>
      </c>
      <c r="Q36" s="21"/>
      <c r="R36" s="21" t="n">
        <f aca="false">IF(AND(P36&gt;=5,ISBLANK(Q36)),P36,(P36+Q36)/2)</f>
        <v>6.334931130632</v>
      </c>
      <c r="S36" s="11"/>
      <c r="T36" s="18" t="str">
        <f aca="false">C36</f>
        <v>Gabriel Otero</v>
      </c>
    </row>
    <row r="37" customFormat="false" ht="12.8" hidden="false" customHeight="false" outlineLevel="0" collapsed="false">
      <c r="A37" s="9" t="n">
        <f aca="false">A36+1</f>
        <v>35</v>
      </c>
      <c r="B37" s="4" t="n">
        <f aca="false">MC346A!A31</f>
        <v>155299</v>
      </c>
      <c r="C37" s="18" t="str">
        <f aca="false">MC346A!B31</f>
        <v>Felipe dal Mas Eulalio</v>
      </c>
      <c r="D37" s="19" t="n">
        <f aca="false">MC346A!C31</f>
        <v>42</v>
      </c>
      <c r="E37" s="4" t="str">
        <f aca="false">MC346A!D31</f>
        <v>G</v>
      </c>
      <c r="F37" s="4" t="str">
        <f aca="false">MC346A!F31</f>
        <v>  </v>
      </c>
      <c r="G37" s="20" t="n">
        <f aca="false">'Prova Prolog'!I31</f>
        <v>7.5</v>
      </c>
      <c r="H37" s="20" t="n">
        <f aca="false">'Prova Haskell'!I31</f>
        <v>5</v>
      </c>
      <c r="I37" s="20" t="n">
        <f aca="false">'Prova Python'!I31</f>
        <v>8.5</v>
      </c>
      <c r="J37" s="20" t="n">
        <f aca="false">'Desafio Prolog'!O36</f>
        <v>7.18916733794736</v>
      </c>
      <c r="K37" s="20" t="n">
        <f aca="false">'Desafio Haskell'!P36</f>
        <v>0</v>
      </c>
      <c r="L37" s="20" t="n">
        <f aca="false">'Desafio Python'!P36</f>
        <v>7.53371954409493</v>
      </c>
      <c r="M37" s="20" t="n">
        <f aca="false">(2*G37+J37)/3</f>
        <v>7.39638911264912</v>
      </c>
      <c r="N37" s="20" t="n">
        <f aca="false">(2*H37+K37)/3</f>
        <v>3.33333333333333</v>
      </c>
      <c r="O37" s="20" t="n">
        <f aca="false">(2*I37+L37)/3</f>
        <v>8.17790651469831</v>
      </c>
      <c r="P37" s="20" t="n">
        <f aca="false">IF(AND(M37&gt;=4,N37&gt;=4,O37&gt;=4),M37/3+N37/3+O37/3,MIN(M37,N37,O37))</f>
        <v>3.33333333333333</v>
      </c>
      <c r="Q37" s="21" t="n">
        <f aca="false">Exame!I31</f>
        <v>8.1</v>
      </c>
      <c r="R37" s="21" t="n">
        <f aca="false">IF(AND(P37&gt;=5,ISBLANK(Q37)),P37,(P37+Q37)/2)</f>
        <v>5.71666666666667</v>
      </c>
      <c r="S37" s="11"/>
      <c r="T37" s="18" t="str">
        <f aca="false">C37</f>
        <v>Felipe dal Mas Eulalio</v>
      </c>
    </row>
    <row r="38" customFormat="false" ht="12.8" hidden="false" customHeight="false" outlineLevel="0" collapsed="false">
      <c r="A38" s="9" t="n">
        <f aca="false">A37+1</f>
        <v>36</v>
      </c>
      <c r="B38" s="4" t="n">
        <f aca="false">MC346A!A32</f>
        <v>155646</v>
      </c>
      <c r="C38" s="18" t="str">
        <f aca="false">MC346A!B32</f>
        <v>Gunter Mingato de Oliveira</v>
      </c>
      <c r="D38" s="19" t="n">
        <f aca="false">MC346A!C32</f>
        <v>34</v>
      </c>
      <c r="E38" s="4" t="str">
        <f aca="false">MC346A!D32</f>
        <v>G</v>
      </c>
      <c r="F38" s="4" t="str">
        <f aca="false">MC346A!F32</f>
        <v>AA</v>
      </c>
      <c r="G38" s="20" t="n">
        <f aca="false">'Prova Prolog'!I32</f>
        <v>6.5</v>
      </c>
      <c r="H38" s="20" t="n">
        <f aca="false">'Prova Haskell'!I32</f>
        <v>1</v>
      </c>
      <c r="I38" s="20" t="n">
        <f aca="false">'Prova Python'!I32</f>
        <v>7.8</v>
      </c>
      <c r="J38" s="20" t="n">
        <f aca="false">'Desafio Prolog'!O37</f>
        <v>0.559831481481815</v>
      </c>
      <c r="K38" s="20" t="n">
        <f aca="false">'Desafio Haskell'!P37</f>
        <v>0</v>
      </c>
      <c r="L38" s="20" t="n">
        <f aca="false">'Desafio Python'!P37</f>
        <v>0.657009190699162</v>
      </c>
      <c r="M38" s="20" t="n">
        <f aca="false">(2*G38+J38)/3</f>
        <v>4.51994382716061</v>
      </c>
      <c r="N38" s="20" t="n">
        <f aca="false">(2*H38+K38)/3</f>
        <v>0.666666666666667</v>
      </c>
      <c r="O38" s="20" t="n">
        <f aca="false">(2*I38+L38)/3</f>
        <v>5.41900306356639</v>
      </c>
      <c r="P38" s="20" t="n">
        <f aca="false">IF(AND(M38&gt;=4,N38&gt;=4,O38&gt;=4),M38/3+N38/3+O38/3,MIN(M38,N38,O38))</f>
        <v>0.666666666666667</v>
      </c>
      <c r="Q38" s="21" t="n">
        <f aca="false">Exame!I32</f>
        <v>6.6</v>
      </c>
      <c r="R38" s="21" t="n">
        <f aca="false">IF(AND(P38&gt;=5,ISBLANK(Q38)),P38,(P38+Q38)/2)</f>
        <v>3.63333333333333</v>
      </c>
      <c r="S38" s="11"/>
      <c r="T38" s="18" t="str">
        <f aca="false">C38</f>
        <v>Gunter Mingato de Oliveira</v>
      </c>
    </row>
    <row r="39" customFormat="false" ht="12.8" hidden="false" customHeight="false" outlineLevel="0" collapsed="false">
      <c r="A39" s="9" t="n">
        <f aca="false">A38+1</f>
        <v>37</v>
      </c>
      <c r="B39" s="4" t="n">
        <f aca="false">MC346A!A33</f>
        <v>155943</v>
      </c>
      <c r="C39" s="18" t="str">
        <f aca="false">MC346A!B33</f>
        <v>João Víctor Brazileu Spuri</v>
      </c>
      <c r="D39" s="19" t="n">
        <f aca="false">MC346A!C33</f>
        <v>42</v>
      </c>
      <c r="E39" s="4" t="str">
        <f aca="false">MC346A!D33</f>
        <v>G</v>
      </c>
      <c r="F39" s="4" t="str">
        <f aca="false">MC346A!F33</f>
        <v>  </v>
      </c>
      <c r="G39" s="20" t="n">
        <f aca="false">'Prova Prolog'!I33</f>
        <v>7.5</v>
      </c>
      <c r="H39" s="20" t="n">
        <f aca="false">'Prova Haskell'!I33</f>
        <v>6</v>
      </c>
      <c r="I39" s="20" t="n">
        <f aca="false">'Prova Python'!I33</f>
        <v>8.5</v>
      </c>
      <c r="J39" s="20" t="n">
        <f aca="false">'Desafio Prolog'!O38</f>
        <v>9.46202977667494</v>
      </c>
      <c r="K39" s="20" t="n">
        <f aca="false">'Desafio Haskell'!P38</f>
        <v>9.99853438683423</v>
      </c>
      <c r="L39" s="20" t="n">
        <f aca="false">'Desafio Python'!P38</f>
        <v>9.12892033165105</v>
      </c>
      <c r="M39" s="20" t="n">
        <f aca="false">(2*G39+J39)/3</f>
        <v>8.15400992555831</v>
      </c>
      <c r="N39" s="20" t="n">
        <f aca="false">(2*H39+K39)/3</f>
        <v>7.33284479561141</v>
      </c>
      <c r="O39" s="20" t="n">
        <f aca="false">(2*I39+L39)/3</f>
        <v>8.70964011055035</v>
      </c>
      <c r="P39" s="20" t="n">
        <f aca="false">IF(AND(M39&gt;=4,N39&gt;=4,O39&gt;=4),M39/3+N39/3+O39/3,MIN(M39,N39,O39))</f>
        <v>8.06549827724002</v>
      </c>
      <c r="Q39" s="21"/>
      <c r="R39" s="21" t="n">
        <f aca="false">IF(AND(P39&gt;=5,ISBLANK(Q39)),P39,(P39+Q39)/2)</f>
        <v>8.06549827724002</v>
      </c>
      <c r="S39" s="11"/>
      <c r="T39" s="18" t="str">
        <f aca="false">C39</f>
        <v>João Víctor Brazileu Spuri</v>
      </c>
    </row>
    <row r="40" customFormat="false" ht="12.8" hidden="false" customHeight="false" outlineLevel="0" collapsed="false">
      <c r="A40" s="9" t="n">
        <f aca="false">A39+1</f>
        <v>38</v>
      </c>
      <c r="B40" s="4" t="n">
        <f aca="false">MC346A!A34</f>
        <v>155976</v>
      </c>
      <c r="C40" s="18" t="str">
        <f aca="false">MC346A!B34</f>
        <v>Jose Henrique Ferreira Pinto</v>
      </c>
      <c r="D40" s="19" t="n">
        <f aca="false">MC346A!C34</f>
        <v>42</v>
      </c>
      <c r="E40" s="4" t="str">
        <f aca="false">MC346A!D34</f>
        <v>G</v>
      </c>
      <c r="F40" s="4" t="str">
        <f aca="false">MC346A!F34</f>
        <v>  </v>
      </c>
      <c r="G40" s="20" t="n">
        <f aca="false">'Prova Prolog'!I34</f>
        <v>6.5</v>
      </c>
      <c r="H40" s="20" t="n">
        <f aca="false">'Prova Haskell'!I34</f>
        <v>2</v>
      </c>
      <c r="I40" s="20" t="n">
        <f aca="false">'Prova Python'!I34</f>
        <v>0</v>
      </c>
      <c r="J40" s="20" t="n">
        <f aca="false">'Desafio Prolog'!O39</f>
        <v>0</v>
      </c>
      <c r="K40" s="20" t="n">
        <f aca="false">'Desafio Haskell'!P39</f>
        <v>0</v>
      </c>
      <c r="L40" s="20" t="n">
        <f aca="false">'Desafio Python'!P39</f>
        <v>0</v>
      </c>
      <c r="M40" s="20" t="n">
        <f aca="false">(2*G40+J40)/3</f>
        <v>4.33333333333333</v>
      </c>
      <c r="N40" s="20" t="n">
        <f aca="false">(2*H40+K40)/3</f>
        <v>1.33333333333333</v>
      </c>
      <c r="O40" s="20" t="n">
        <f aca="false">(2*I40+L40)/3</f>
        <v>0</v>
      </c>
      <c r="P40" s="20" t="n">
        <f aca="false">IF(AND(M40&gt;=4,N40&gt;=4,O40&gt;=4),M40/3+N40/3+O40/3,MIN(M40,N40,O40))</f>
        <v>0</v>
      </c>
      <c r="Q40" s="21"/>
      <c r="R40" s="21" t="n">
        <f aca="false">IF(AND(P40&gt;=5,ISBLANK(Q40)),P40,(P40+Q40)/2)</f>
        <v>0</v>
      </c>
      <c r="S40" s="11"/>
      <c r="T40" s="18" t="str">
        <f aca="false">C40</f>
        <v>Jose Henrique Ferreira Pinto</v>
      </c>
    </row>
    <row r="41" customFormat="false" ht="12.8" hidden="false" customHeight="false" outlineLevel="0" collapsed="false">
      <c r="A41" s="9" t="n">
        <f aca="false">A40+1</f>
        <v>39</v>
      </c>
      <c r="B41" s="4" t="n">
        <f aca="false">MC346A!A35</f>
        <v>156362</v>
      </c>
      <c r="C41" s="18" t="str">
        <f aca="false">MC346A!B35</f>
        <v>Lucas Gabriel Silverio de Freitas</v>
      </c>
      <c r="D41" s="19" t="n">
        <f aca="false">MC346A!C35</f>
        <v>34</v>
      </c>
      <c r="E41" s="4" t="str">
        <f aca="false">MC346A!D35</f>
        <v>G</v>
      </c>
      <c r="F41" s="4" t="str">
        <f aca="false">MC346A!F35</f>
        <v>AX</v>
      </c>
      <c r="G41" s="20" t="n">
        <f aca="false">'Prova Prolog'!I35</f>
        <v>5.8</v>
      </c>
      <c r="H41" s="20" t="n">
        <f aca="false">'Prova Haskell'!I35</f>
        <v>0</v>
      </c>
      <c r="I41" s="20" t="n">
        <f aca="false">'Prova Python'!I35</f>
        <v>0</v>
      </c>
      <c r="J41" s="20" t="n">
        <f aca="false">'Desafio Prolog'!O40</f>
        <v>0</v>
      </c>
      <c r="K41" s="20" t="n">
        <f aca="false">'Desafio Haskell'!P40</f>
        <v>0</v>
      </c>
      <c r="L41" s="20" t="n">
        <f aca="false">'Desafio Python'!P40</f>
        <v>0</v>
      </c>
      <c r="M41" s="20" t="n">
        <f aca="false">(2*G41+J41)/3</f>
        <v>3.86666666666667</v>
      </c>
      <c r="N41" s="20" t="n">
        <f aca="false">(2*H41+K41)/3</f>
        <v>0</v>
      </c>
      <c r="O41" s="20" t="n">
        <f aca="false">(2*I41+L41)/3</f>
        <v>0</v>
      </c>
      <c r="P41" s="20" t="n">
        <f aca="false">IF(AND(M41&gt;=4,N41&gt;=4,O41&gt;=4),M41/3+N41/3+O41/3,MIN(M41,N41,O41))</f>
        <v>0</v>
      </c>
      <c r="Q41" s="21"/>
      <c r="R41" s="21" t="n">
        <v>0</v>
      </c>
      <c r="S41" s="11"/>
      <c r="T41" s="18" t="str">
        <f aca="false">C41</f>
        <v>Lucas Gabriel Silverio de Freitas</v>
      </c>
    </row>
    <row r="42" customFormat="false" ht="12.8" hidden="false" customHeight="false" outlineLevel="0" collapsed="false">
      <c r="A42" s="9" t="n">
        <f aca="false">A41+1</f>
        <v>40</v>
      </c>
      <c r="B42" s="4" t="n">
        <f aca="false">MC346A!A36</f>
        <v>156405</v>
      </c>
      <c r="C42" s="18" t="str">
        <f aca="false">MC346A!B36</f>
        <v>Lucas Rodolfo de Castro Moura</v>
      </c>
      <c r="D42" s="19" t="n">
        <f aca="false">MC346A!C36</f>
        <v>42</v>
      </c>
      <c r="E42" s="4" t="str">
        <f aca="false">MC346A!D36</f>
        <v>G</v>
      </c>
      <c r="F42" s="4" t="str">
        <f aca="false">MC346A!F36</f>
        <v>  </v>
      </c>
      <c r="G42" s="20" t="n">
        <f aca="false">'Prova Prolog'!I36</f>
        <v>0</v>
      </c>
      <c r="H42" s="20" t="n">
        <f aca="false">'Prova Haskell'!I36</f>
        <v>0</v>
      </c>
      <c r="I42" s="20" t="n">
        <f aca="false">'Prova Python'!I36</f>
        <v>0</v>
      </c>
      <c r="J42" s="20" t="n">
        <f aca="false">'Desafio Prolog'!O41</f>
        <v>0</v>
      </c>
      <c r="K42" s="20" t="n">
        <f aca="false">'Desafio Haskell'!P41</f>
        <v>0</v>
      </c>
      <c r="L42" s="20" t="n">
        <f aca="false">'Desafio Python'!P41</f>
        <v>0</v>
      </c>
      <c r="M42" s="20" t="n">
        <f aca="false">(2*G42+J42)/3</f>
        <v>0</v>
      </c>
      <c r="N42" s="20" t="n">
        <f aca="false">(2*H42+K42)/3</f>
        <v>0</v>
      </c>
      <c r="O42" s="20" t="n">
        <f aca="false">(2*I42+L42)/3</f>
        <v>0</v>
      </c>
      <c r="P42" s="20" t="n">
        <f aca="false">IF(AND(M42&gt;=4,N42&gt;=4,O42&gt;=4),M42/3+N42/3+O42/3,MIN(M42,N42,O42))</f>
        <v>0</v>
      </c>
      <c r="Q42" s="21"/>
      <c r="R42" s="21" t="n">
        <f aca="false">IF(AND(P42&gt;=5,ISBLANK(Q42)),P42,(P42+Q42)/2)</f>
        <v>0</v>
      </c>
      <c r="S42" s="11"/>
      <c r="T42" s="18" t="str">
        <f aca="false">C42</f>
        <v>Lucas Rodolfo de Castro Moura</v>
      </c>
    </row>
    <row r="43" customFormat="false" ht="12.8" hidden="false" customHeight="false" outlineLevel="0" collapsed="false">
      <c r="A43" s="9" t="n">
        <f aca="false">A42+1</f>
        <v>41</v>
      </c>
      <c r="B43" s="4" t="n">
        <f aca="false">MC346A!A37</f>
        <v>158336</v>
      </c>
      <c r="C43" s="18" t="str">
        <f aca="false">MC346A!B37</f>
        <v>Pedro Gabriel Martins Ono</v>
      </c>
      <c r="D43" s="19" t="n">
        <f aca="false">MC346A!C37</f>
        <v>34</v>
      </c>
      <c r="E43" s="4" t="str">
        <f aca="false">MC346A!D37</f>
        <v>G</v>
      </c>
      <c r="F43" s="4" t="str">
        <f aca="false">MC346A!F37</f>
        <v>AA</v>
      </c>
      <c r="G43" s="20" t="n">
        <f aca="false">'Prova Prolog'!I37</f>
        <v>3.6</v>
      </c>
      <c r="H43" s="20" t="n">
        <f aca="false">'Prova Haskell'!I37</f>
        <v>0</v>
      </c>
      <c r="I43" s="20" t="n">
        <f aca="false">'Prova Python'!I37</f>
        <v>0</v>
      </c>
      <c r="J43" s="20" t="n">
        <f aca="false">'Desafio Prolog'!O42</f>
        <v>0</v>
      </c>
      <c r="K43" s="20" t="n">
        <f aca="false">'Desafio Haskell'!P42</f>
        <v>0</v>
      </c>
      <c r="L43" s="20" t="n">
        <f aca="false">'Desafio Python'!P42</f>
        <v>0</v>
      </c>
      <c r="M43" s="20" t="n">
        <f aca="false">(2*G43+J43)/3</f>
        <v>2.4</v>
      </c>
      <c r="N43" s="20" t="n">
        <f aca="false">(2*H43+K43)/3</f>
        <v>0</v>
      </c>
      <c r="O43" s="20" t="n">
        <f aca="false">(2*I43+L43)/3</f>
        <v>0</v>
      </c>
      <c r="P43" s="20" t="n">
        <f aca="false">IF(AND(M43&gt;=4,N43&gt;=4,O43&gt;=4),M43/3+N43/3+O43/3,MIN(M43,N43,O43))</f>
        <v>0</v>
      </c>
      <c r="Q43" s="21"/>
      <c r="R43" s="21" t="n">
        <f aca="false">IF(AND(P43&gt;=5,ISBLANK(Q43)),P43,(P43+Q43)/2)</f>
        <v>0</v>
      </c>
      <c r="S43" s="11"/>
      <c r="T43" s="18" t="str">
        <f aca="false">C43</f>
        <v>Pedro Gabriel Martins Ono</v>
      </c>
    </row>
    <row r="44" customFormat="false" ht="12.8" hidden="false" customHeight="false" outlineLevel="0" collapsed="false">
      <c r="A44" s="9" t="n">
        <f aca="false">A43+1</f>
        <v>42</v>
      </c>
      <c r="B44" s="4" t="n">
        <f aca="false">MC346A!A38</f>
        <v>160013</v>
      </c>
      <c r="C44" s="18" t="str">
        <f aca="false">MC346A!B38</f>
        <v>Victor Fontana Saez</v>
      </c>
      <c r="D44" s="19" t="n">
        <f aca="false">MC346A!C38</f>
        <v>34</v>
      </c>
      <c r="E44" s="4" t="str">
        <f aca="false">MC346A!D38</f>
        <v>G</v>
      </c>
      <c r="F44" s="4" t="str">
        <f aca="false">MC346A!F38</f>
        <v>AA</v>
      </c>
      <c r="G44" s="20" t="n">
        <f aca="false">'Prova Prolog'!I38</f>
        <v>2.5</v>
      </c>
      <c r="H44" s="20" t="n">
        <f aca="false">'Prova Haskell'!I38</f>
        <v>0</v>
      </c>
      <c r="I44" s="20" t="n">
        <f aca="false">'Prova Python'!I38</f>
        <v>0</v>
      </c>
      <c r="J44" s="20" t="n">
        <f aca="false">'Desafio Prolog'!O43</f>
        <v>0</v>
      </c>
      <c r="K44" s="20" t="n">
        <f aca="false">'Desafio Haskell'!P43</f>
        <v>0</v>
      </c>
      <c r="L44" s="20" t="n">
        <f aca="false">'Desafio Python'!P43</f>
        <v>0</v>
      </c>
      <c r="M44" s="20" t="n">
        <f aca="false">(2*G44+J44)/3</f>
        <v>1.66666666666667</v>
      </c>
      <c r="N44" s="20" t="n">
        <f aca="false">(2*H44+K44)/3</f>
        <v>0</v>
      </c>
      <c r="O44" s="20" t="n">
        <f aca="false">(2*I44+L44)/3</f>
        <v>0</v>
      </c>
      <c r="P44" s="20" t="n">
        <f aca="false">IF(AND(M44&gt;=4,N44&gt;=4,O44&gt;=4),M44/3+N44/3+O44/3,MIN(M44,N44,O44))</f>
        <v>0</v>
      </c>
      <c r="Q44" s="21"/>
      <c r="R44" s="21" t="n">
        <f aca="false">IF(AND(P44&gt;=5,ISBLANK(Q44)),P44,(P44+Q44)/2)</f>
        <v>0</v>
      </c>
      <c r="S44" s="11"/>
      <c r="T44" s="18" t="str">
        <f aca="false">C44</f>
        <v>Victor Fontana Saez</v>
      </c>
    </row>
    <row r="45" customFormat="false" ht="12.8" hidden="false" customHeight="false" outlineLevel="0" collapsed="false">
      <c r="A45" s="9" t="n">
        <f aca="false">A44+1</f>
        <v>43</v>
      </c>
      <c r="B45" s="4" t="n">
        <f aca="false">MC346A!A39</f>
        <v>160160</v>
      </c>
      <c r="C45" s="18" t="str">
        <f aca="false">MC346A!B39</f>
        <v>Guilherme Furlan</v>
      </c>
      <c r="D45" s="19" t="n">
        <f aca="false">MC346A!C39</f>
        <v>42</v>
      </c>
      <c r="E45" s="4" t="str">
        <f aca="false">MC346A!D39</f>
        <v>G</v>
      </c>
      <c r="F45" s="4" t="str">
        <f aca="false">MC346A!F39</f>
        <v>  </v>
      </c>
      <c r="G45" s="20" t="n">
        <f aca="false">'Prova Prolog'!I39</f>
        <v>1.5</v>
      </c>
      <c r="H45" s="20" t="n">
        <f aca="false">'Prova Haskell'!I39</f>
        <v>0</v>
      </c>
      <c r="I45" s="20" t="n">
        <f aca="false">'Prova Python'!I39</f>
        <v>0</v>
      </c>
      <c r="J45" s="20" t="n">
        <f aca="false">'Desafio Prolog'!O44</f>
        <v>0</v>
      </c>
      <c r="K45" s="20" t="n">
        <f aca="false">'Desafio Haskell'!P44</f>
        <v>0</v>
      </c>
      <c r="L45" s="20" t="n">
        <f aca="false">'Desafio Python'!P44</f>
        <v>0</v>
      </c>
      <c r="M45" s="20" t="n">
        <f aca="false">(2*G45+J45)/3</f>
        <v>1</v>
      </c>
      <c r="N45" s="20" t="n">
        <f aca="false">(2*H45+K45)/3</f>
        <v>0</v>
      </c>
      <c r="O45" s="20" t="n">
        <f aca="false">(2*I45+L45)/3</f>
        <v>0</v>
      </c>
      <c r="P45" s="20" t="n">
        <f aca="false">IF(AND(M45&gt;=4,N45&gt;=4,O45&gt;=4),M45/3+N45/3+O45/3,MIN(M45,N45,O45))</f>
        <v>0</v>
      </c>
      <c r="Q45" s="21"/>
      <c r="R45" s="21" t="n">
        <f aca="false">IF(AND(P45&gt;=5,ISBLANK(Q45)),P45,(P45+Q45)/2)</f>
        <v>0</v>
      </c>
      <c r="S45" s="11"/>
      <c r="T45" s="18" t="str">
        <f aca="false">C45</f>
        <v>Guilherme Furlan</v>
      </c>
    </row>
    <row r="46" customFormat="false" ht="12.8" hidden="false" customHeight="false" outlineLevel="0" collapsed="false">
      <c r="A46" s="9" t="n">
        <f aca="false">A45+1</f>
        <v>44</v>
      </c>
      <c r="B46" s="4" t="n">
        <f aca="false">MC346A!A40</f>
        <v>164213</v>
      </c>
      <c r="C46" s="18" t="str">
        <f aca="false">MC346A!B40</f>
        <v>Andreza Aparecida dos Santos</v>
      </c>
      <c r="D46" s="19" t="n">
        <f aca="false">MC346A!C40</f>
        <v>34</v>
      </c>
      <c r="E46" s="4" t="str">
        <f aca="false">MC346A!D40</f>
        <v>G</v>
      </c>
      <c r="F46" s="4" t="str">
        <f aca="false">MC346A!F40</f>
        <v>AX</v>
      </c>
      <c r="G46" s="20" t="n">
        <f aca="false">'Prova Prolog'!I40</f>
        <v>2.8</v>
      </c>
      <c r="H46" s="20" t="n">
        <f aca="false">'Prova Haskell'!I40</f>
        <v>1.5</v>
      </c>
      <c r="I46" s="20" t="n">
        <f aca="false">'Prova Python'!I40</f>
        <v>0</v>
      </c>
      <c r="J46" s="20" t="n">
        <f aca="false">'Desafio Prolog'!O45</f>
        <v>8.06082533271781</v>
      </c>
      <c r="K46" s="20" t="n">
        <f aca="false">'Desafio Haskell'!P45</f>
        <v>9.63738025066603</v>
      </c>
      <c r="L46" s="20" t="n">
        <f aca="false">'Desafio Python'!P45</f>
        <v>6.54988843130655</v>
      </c>
      <c r="M46" s="20" t="n">
        <f aca="false">(2*G46+J46)/3</f>
        <v>4.55360844423927</v>
      </c>
      <c r="N46" s="20" t="n">
        <f aca="false">(2*H46+K46)/3</f>
        <v>4.21246008355534</v>
      </c>
      <c r="O46" s="20" t="n">
        <f aca="false">(2*I46+L46)/3</f>
        <v>2.18329614376885</v>
      </c>
      <c r="P46" s="20" t="n">
        <f aca="false">IF(AND(M46&gt;=4,N46&gt;=4,O46&gt;=4),M46/3+N46/3+O46/3,MIN(M46,N46,O46))</f>
        <v>2.18329614376885</v>
      </c>
      <c r="Q46" s="21" t="n">
        <f aca="false">Exame!I40</f>
        <v>0</v>
      </c>
      <c r="R46" s="21" t="n">
        <f aca="false">IF(AND(P46&gt;=5,ISBLANK(Q46)),P46,(P46+Q46)/2)</f>
        <v>1.09164807188443</v>
      </c>
      <c r="S46" s="11"/>
      <c r="T46" s="18" t="str">
        <f aca="false">C46</f>
        <v>Andreza Aparecida dos Santos</v>
      </c>
    </row>
    <row r="47" customFormat="false" ht="12.8" hidden="false" customHeight="false" outlineLevel="0" collapsed="false">
      <c r="A47" s="9" t="n">
        <f aca="false">A46+1</f>
        <v>45</v>
      </c>
      <c r="B47" s="4" t="n">
        <f aca="false">MC346A!A41</f>
        <v>164468</v>
      </c>
      <c r="C47" s="18" t="str">
        <f aca="false">MC346A!B41</f>
        <v>Artur Eiji Suguinoshita Aciole</v>
      </c>
      <c r="D47" s="19" t="n">
        <f aca="false">MC346A!C41</f>
        <v>42</v>
      </c>
      <c r="E47" s="4" t="str">
        <f aca="false">MC346A!D41</f>
        <v>G</v>
      </c>
      <c r="F47" s="4" t="str">
        <f aca="false">MC346A!F41</f>
        <v>  </v>
      </c>
      <c r="G47" s="20" t="n">
        <f aca="false">'Prova Prolog'!I41</f>
        <v>8.5</v>
      </c>
      <c r="H47" s="20" t="n">
        <f aca="false">'Prova Haskell'!I41</f>
        <v>5</v>
      </c>
      <c r="I47" s="20" t="n">
        <f aca="false">'Prova Python'!I41</f>
        <v>6.5</v>
      </c>
      <c r="J47" s="20" t="n">
        <f aca="false">'Desafio Prolog'!O46</f>
        <v>8.97802222805632</v>
      </c>
      <c r="K47" s="20" t="n">
        <f aca="false">'Desafio Haskell'!P46</f>
        <v>9.99853438683423</v>
      </c>
      <c r="L47" s="20" t="n">
        <f aca="false">'Desafio Python'!P46</f>
        <v>9.96362388469458</v>
      </c>
      <c r="M47" s="20" t="n">
        <f aca="false">(2*G47+J47)/3</f>
        <v>8.65934074268544</v>
      </c>
      <c r="N47" s="20" t="n">
        <f aca="false">(2*H47+K47)/3</f>
        <v>6.66617812894474</v>
      </c>
      <c r="O47" s="20" t="n">
        <f aca="false">(2*I47+L47)/3</f>
        <v>7.65454129489819</v>
      </c>
      <c r="P47" s="20" t="n">
        <f aca="false">IF(AND(M47&gt;=4,N47&gt;=4,O47&gt;=4),M47/3+N47/3+O47/3,MIN(M47,N47,O47))</f>
        <v>7.66002005550946</v>
      </c>
      <c r="Q47" s="21"/>
      <c r="R47" s="21" t="n">
        <f aca="false">IF(AND(P47&gt;=5,ISBLANK(Q47)),P47,(P47+Q47)/2)</f>
        <v>7.66002005550946</v>
      </c>
      <c r="S47" s="11"/>
      <c r="T47" s="18" t="str">
        <f aca="false">C47</f>
        <v>Artur Eiji Suguinoshita Aciole</v>
      </c>
    </row>
    <row r="48" customFormat="false" ht="12.8" hidden="false" customHeight="false" outlineLevel="0" collapsed="false">
      <c r="A48" s="9" t="n">
        <f aca="false">A47+1</f>
        <v>46</v>
      </c>
      <c r="B48" s="4" t="n">
        <f aca="false">MC346A!A42</f>
        <v>164700</v>
      </c>
      <c r="C48" s="18" t="str">
        <f aca="false">MC346A!B42</f>
        <v>Beatriz Inácio dos Santos</v>
      </c>
      <c r="D48" s="19" t="n">
        <f aca="false">MC346A!C42</f>
        <v>42</v>
      </c>
      <c r="E48" s="4" t="str">
        <f aca="false">MC346A!D42</f>
        <v>G</v>
      </c>
      <c r="F48" s="4" t="str">
        <f aca="false">MC346A!F42</f>
        <v>  </v>
      </c>
      <c r="G48" s="20" t="n">
        <f aca="false">'Prova Prolog'!I42</f>
        <v>5.7</v>
      </c>
      <c r="H48" s="20" t="n">
        <f aca="false">'Prova Haskell'!I42</f>
        <v>0</v>
      </c>
      <c r="I48" s="20" t="n">
        <f aca="false">'Prova Python'!I42</f>
        <v>0</v>
      </c>
      <c r="J48" s="20" t="n">
        <f aca="false">'Desafio Prolog'!O47</f>
        <v>0</v>
      </c>
      <c r="K48" s="20" t="n">
        <f aca="false">'Desafio Haskell'!P47</f>
        <v>0</v>
      </c>
      <c r="L48" s="20" t="n">
        <f aca="false">'Desafio Python'!P47</f>
        <v>0</v>
      </c>
      <c r="M48" s="20" t="n">
        <f aca="false">(2*G48+J48)/3</f>
        <v>3.8</v>
      </c>
      <c r="N48" s="20" t="n">
        <f aca="false">(2*H48+K48)/3</f>
        <v>0</v>
      </c>
      <c r="O48" s="20" t="n">
        <f aca="false">(2*I48+L48)/3</f>
        <v>0</v>
      </c>
      <c r="P48" s="20" t="n">
        <f aca="false">IF(AND(M48&gt;=4,N48&gt;=4,O48&gt;=4),M48/3+N48/3+O48/3,MIN(M48,N48,O48))</f>
        <v>0</v>
      </c>
      <c r="Q48" s="21"/>
      <c r="R48" s="21" t="n">
        <f aca="false">IF(AND(P48&gt;=5,ISBLANK(Q48)),P48,(P48+Q48)/2)</f>
        <v>0</v>
      </c>
      <c r="S48" s="11"/>
      <c r="T48" s="18" t="str">
        <f aca="false">C48</f>
        <v>Beatriz Inácio dos Santos</v>
      </c>
    </row>
    <row r="49" customFormat="false" ht="12.8" hidden="false" customHeight="false" outlineLevel="0" collapsed="false">
      <c r="A49" s="9" t="n">
        <f aca="false">A48+1</f>
        <v>47</v>
      </c>
      <c r="B49" s="4" t="n">
        <f aca="false">MC346A!A43</f>
        <v>166082</v>
      </c>
      <c r="C49" s="18" t="str">
        <f aca="false">MC346A!B43</f>
        <v>Clara Pompeu de Sousa Brasil Carneiro</v>
      </c>
      <c r="D49" s="19" t="n">
        <f aca="false">MC346A!C43</f>
        <v>34</v>
      </c>
      <c r="E49" s="4" t="str">
        <f aca="false">MC346A!D43</f>
        <v>G</v>
      </c>
      <c r="F49" s="4" t="str">
        <f aca="false">MC346A!F43</f>
        <v>AA</v>
      </c>
      <c r="G49" s="20" t="n">
        <f aca="false">'Prova Prolog'!I43</f>
        <v>0</v>
      </c>
      <c r="H49" s="20" t="n">
        <f aca="false">'Prova Haskell'!I43</f>
        <v>0</v>
      </c>
      <c r="I49" s="20" t="n">
        <f aca="false">'Prova Python'!I43</f>
        <v>0</v>
      </c>
      <c r="J49" s="20" t="n">
        <f aca="false">'Desafio Prolog'!O48</f>
        <v>0</v>
      </c>
      <c r="K49" s="20" t="n">
        <f aca="false">'Desafio Haskell'!P48</f>
        <v>0</v>
      </c>
      <c r="L49" s="20" t="n">
        <f aca="false">'Desafio Python'!P48</f>
        <v>0</v>
      </c>
      <c r="M49" s="20" t="n">
        <f aca="false">(2*G49+J49)/3</f>
        <v>0</v>
      </c>
      <c r="N49" s="20" t="n">
        <f aca="false">(2*H49+K49)/3</f>
        <v>0</v>
      </c>
      <c r="O49" s="20" t="n">
        <f aca="false">(2*I49+L49)/3</f>
        <v>0</v>
      </c>
      <c r="P49" s="20" t="n">
        <f aca="false">IF(AND(M49&gt;=4,N49&gt;=4,O49&gt;=4),M49/3+N49/3+O49/3,MIN(M49,N49,O49))</f>
        <v>0</v>
      </c>
      <c r="Q49" s="21"/>
      <c r="R49" s="21" t="n">
        <f aca="false">IF(AND(P49&gt;=5,ISBLANK(Q49)),P49,(P49+Q49)/2)</f>
        <v>0</v>
      </c>
      <c r="S49" s="11"/>
      <c r="T49" s="18" t="str">
        <f aca="false">C49</f>
        <v>Clara Pompeu de Sousa Brasil Carneiro</v>
      </c>
    </row>
    <row r="50" customFormat="false" ht="12.8" hidden="false" customHeight="false" outlineLevel="0" collapsed="false">
      <c r="A50" s="9" t="n">
        <f aca="false">A49+1</f>
        <v>48</v>
      </c>
      <c r="B50" s="4" t="n">
        <f aca="false">MC346A!A44</f>
        <v>166213</v>
      </c>
      <c r="C50" s="18" t="str">
        <f aca="false">MC346A!B44</f>
        <v>Daniel Godoy Marques</v>
      </c>
      <c r="D50" s="19" t="n">
        <f aca="false">MC346A!C44</f>
        <v>42</v>
      </c>
      <c r="E50" s="4" t="str">
        <f aca="false">MC346A!D44</f>
        <v>G</v>
      </c>
      <c r="F50" s="4" t="str">
        <f aca="false">MC346A!F44</f>
        <v>  </v>
      </c>
      <c r="G50" s="20" t="n">
        <f aca="false">'Prova Prolog'!I44</f>
        <v>2.5</v>
      </c>
      <c r="H50" s="20" t="n">
        <f aca="false">'Prova Haskell'!I44</f>
        <v>1.8</v>
      </c>
      <c r="I50" s="20" t="n">
        <f aca="false">'Prova Python'!I44</f>
        <v>5.3</v>
      </c>
      <c r="J50" s="20" t="n">
        <f aca="false">'Desafio Prolog'!O49</f>
        <v>6.943430554408</v>
      </c>
      <c r="K50" s="20" t="n">
        <f aca="false">'Desafio Haskell'!P49</f>
        <v>9.53860766043553</v>
      </c>
      <c r="L50" s="20" t="n">
        <f aca="false">'Desafio Python'!P49</f>
        <v>3.16240718245648</v>
      </c>
      <c r="M50" s="20" t="n">
        <f aca="false">(2*G50+J50)/3</f>
        <v>3.981143518136</v>
      </c>
      <c r="N50" s="20" t="n">
        <f aca="false">(2*H50+K50)/3</f>
        <v>4.37953588681184</v>
      </c>
      <c r="O50" s="20" t="n">
        <f aca="false">(2*I50+L50)/3</f>
        <v>4.58746906081883</v>
      </c>
      <c r="P50" s="20" t="n">
        <f aca="false">IF(AND(M50&gt;=4,N50&gt;=4,O50&gt;=4),M50/3+N50/3+O50/3,MIN(M50,N50,O50))</f>
        <v>3.981143518136</v>
      </c>
      <c r="Q50" s="21" t="n">
        <f aca="false">Exame!I44</f>
        <v>3.9</v>
      </c>
      <c r="R50" s="21" t="n">
        <f aca="false">IF(AND(P50&gt;=5,ISBLANK(Q50)),P50,(P50+Q50)/2)</f>
        <v>3.940571759068</v>
      </c>
      <c r="S50" s="11"/>
      <c r="T50" s="18" t="str">
        <f aca="false">C50</f>
        <v>Daniel Godoy Marques</v>
      </c>
    </row>
    <row r="51" customFormat="false" ht="12.8" hidden="false" customHeight="false" outlineLevel="0" collapsed="false">
      <c r="A51" s="9" t="n">
        <f aca="false">A50+1</f>
        <v>49</v>
      </c>
      <c r="B51" s="4" t="n">
        <f aca="false">MC346A!A45</f>
        <v>166249</v>
      </c>
      <c r="C51" s="18" t="str">
        <f aca="false">MC346A!B45</f>
        <v>Daniel Pereira Rodrigues</v>
      </c>
      <c r="D51" s="19" t="n">
        <f aca="false">MC346A!C45</f>
        <v>42</v>
      </c>
      <c r="E51" s="4" t="str">
        <f aca="false">MC346A!D45</f>
        <v>G</v>
      </c>
      <c r="F51" s="4" t="str">
        <f aca="false">MC346A!F45</f>
        <v>  </v>
      </c>
      <c r="G51" s="20" t="n">
        <f aca="false">'Prova Prolog'!I45</f>
        <v>9.5</v>
      </c>
      <c r="H51" s="20" t="n">
        <f aca="false">'Prova Haskell'!I45</f>
        <v>8.5</v>
      </c>
      <c r="I51" s="20" t="n">
        <f aca="false">'Prova Python'!I45</f>
        <v>9.8</v>
      </c>
      <c r="J51" s="20" t="n">
        <f aca="false">'Desafio Prolog'!O50</f>
        <v>7.97915530927063</v>
      </c>
      <c r="K51" s="20" t="n">
        <f aca="false">'Desafio Haskell'!P50</f>
        <v>8.05090925432293</v>
      </c>
      <c r="L51" s="20" t="n">
        <f aca="false">'Desafio Python'!P50</f>
        <v>1.6319790078098</v>
      </c>
      <c r="M51" s="20" t="n">
        <f aca="false">(2*G51+J51)/3</f>
        <v>8.99305176975688</v>
      </c>
      <c r="N51" s="20" t="n">
        <f aca="false">(2*H51+K51)/3</f>
        <v>8.35030308477431</v>
      </c>
      <c r="O51" s="20" t="n">
        <f aca="false">(2*I51+L51)/3</f>
        <v>7.0773263359366</v>
      </c>
      <c r="P51" s="20" t="n">
        <f aca="false">IF(AND(M51&gt;=4,N51&gt;=4,O51&gt;=4),M51/3+N51/3+O51/3,MIN(M51,N51,O51))</f>
        <v>8.14022706348926</v>
      </c>
      <c r="Q51" s="21"/>
      <c r="R51" s="21" t="n">
        <f aca="false">IF(AND(P51&gt;=5,ISBLANK(Q51)),P51,(P51+Q51)/2)</f>
        <v>8.14022706348926</v>
      </c>
      <c r="S51" s="11"/>
      <c r="T51" s="18" t="str">
        <f aca="false">C51</f>
        <v>Daniel Pereira Rodrigues</v>
      </c>
    </row>
    <row r="52" customFormat="false" ht="12.8" hidden="false" customHeight="false" outlineLevel="0" collapsed="false">
      <c r="A52" s="9" t="n">
        <f aca="false">A51+1</f>
        <v>50</v>
      </c>
      <c r="B52" s="4" t="n">
        <f aca="false">MC346A!A46</f>
        <v>168357</v>
      </c>
      <c r="C52" s="18" t="str">
        <f aca="false">MC346A!B46</f>
        <v>Gabriela Pereira Neri</v>
      </c>
      <c r="D52" s="19" t="n">
        <f aca="false">MC346A!C46</f>
        <v>42</v>
      </c>
      <c r="E52" s="4" t="str">
        <f aca="false">MC346A!D46</f>
        <v>G</v>
      </c>
      <c r="F52" s="4" t="str">
        <f aca="false">MC346A!F46</f>
        <v>  </v>
      </c>
      <c r="G52" s="20" t="n">
        <f aca="false">'Prova Prolog'!I46</f>
        <v>4.7</v>
      </c>
      <c r="H52" s="20" t="n">
        <f aca="false">'Prova Haskell'!I46</f>
        <v>0</v>
      </c>
      <c r="I52" s="20" t="n">
        <f aca="false">'Prova Python'!I46</f>
        <v>0</v>
      </c>
      <c r="J52" s="20" t="n">
        <f aca="false">'Desafio Prolog'!O51</f>
        <v>0</v>
      </c>
      <c r="K52" s="20" t="n">
        <f aca="false">'Desafio Haskell'!P51</f>
        <v>0</v>
      </c>
      <c r="L52" s="20" t="n">
        <f aca="false">'Desafio Python'!P51</f>
        <v>0</v>
      </c>
      <c r="M52" s="20" t="n">
        <f aca="false">(2*G52+J52)/3</f>
        <v>3.13333333333333</v>
      </c>
      <c r="N52" s="20" t="n">
        <f aca="false">(2*H52+K52)/3</f>
        <v>0</v>
      </c>
      <c r="O52" s="20" t="n">
        <f aca="false">(2*I52+L52)/3</f>
        <v>0</v>
      </c>
      <c r="P52" s="20" t="n">
        <f aca="false">IF(AND(M52&gt;=4,N52&gt;=4,O52&gt;=4),M52/3+N52/3+O52/3,MIN(M52,N52,O52))</f>
        <v>0</v>
      </c>
      <c r="Q52" s="21"/>
      <c r="R52" s="21" t="n">
        <f aca="false">IF(AND(P52&gt;=5,ISBLANK(Q52)),P52,(P52+Q52)/2)</f>
        <v>0</v>
      </c>
      <c r="S52" s="11"/>
      <c r="T52" s="18" t="str">
        <f aca="false">C52</f>
        <v>Gabriela Pereira Neri</v>
      </c>
    </row>
    <row r="53" customFormat="false" ht="12.8" hidden="false" customHeight="false" outlineLevel="0" collapsed="false">
      <c r="A53" s="9" t="n">
        <f aca="false">A52+1</f>
        <v>51</v>
      </c>
      <c r="B53" s="4" t="n">
        <f aca="false">MC346A!A47</f>
        <v>168891</v>
      </c>
      <c r="C53" s="18" t="str">
        <f aca="false">MC346A!B47</f>
        <v>Guilherme Alves Valarini</v>
      </c>
      <c r="D53" s="19" t="n">
        <f aca="false">MC346A!C47</f>
        <v>42</v>
      </c>
      <c r="E53" s="4" t="str">
        <f aca="false">MC346A!D47</f>
        <v>G</v>
      </c>
      <c r="F53" s="4" t="str">
        <f aca="false">MC346A!F47</f>
        <v>  </v>
      </c>
      <c r="G53" s="20" t="n">
        <f aca="false">'Prova Prolog'!I47</f>
        <v>10</v>
      </c>
      <c r="H53" s="20" t="n">
        <f aca="false">'Prova Haskell'!I47</f>
        <v>8.5</v>
      </c>
      <c r="I53" s="20" t="n">
        <f aca="false">'Prova Python'!I47</f>
        <v>10</v>
      </c>
      <c r="J53" s="20" t="n">
        <f aca="false">'Desafio Prolog'!O52</f>
        <v>8.16728911356209</v>
      </c>
      <c r="K53" s="20" t="n">
        <f aca="false">'Desafio Haskell'!P52</f>
        <v>9.75152803525568</v>
      </c>
      <c r="L53" s="20" t="n">
        <f aca="false">'Desafio Python'!P52</f>
        <v>9.89852595599231</v>
      </c>
      <c r="M53" s="20" t="n">
        <f aca="false">(2*G53+J53)/3</f>
        <v>9.38909637118736</v>
      </c>
      <c r="N53" s="20" t="n">
        <f aca="false">(2*H53+K53)/3</f>
        <v>8.91717601175189</v>
      </c>
      <c r="O53" s="20" t="n">
        <f aca="false">(2*I53+L53)/3</f>
        <v>9.9661753186641</v>
      </c>
      <c r="P53" s="20" t="n">
        <f aca="false">IF(AND(M53&gt;=4,N53&gt;=4,O53&gt;=4),M53/3+N53/3+O53/3,MIN(M53,N53,O53))</f>
        <v>9.42414923386779</v>
      </c>
      <c r="Q53" s="21"/>
      <c r="R53" s="21" t="n">
        <f aca="false">IF(AND(P53&gt;=5,ISBLANK(Q53)),P53,(P53+Q53)/2)</f>
        <v>9.42414923386779</v>
      </c>
      <c r="S53" s="11"/>
      <c r="T53" s="18" t="str">
        <f aca="false">C53</f>
        <v>Guilherme Alves Valarini</v>
      </c>
    </row>
    <row r="54" customFormat="false" ht="12.8" hidden="false" customHeight="false" outlineLevel="0" collapsed="false">
      <c r="A54" s="9" t="n">
        <f aca="false">A53+1</f>
        <v>52</v>
      </c>
      <c r="B54" s="4" t="n">
        <f aca="false">MC346A!A48</f>
        <v>169621</v>
      </c>
      <c r="C54" s="18" t="str">
        <f aca="false">MC346A!B48</f>
        <v>Henrique Machado Gonçalves</v>
      </c>
      <c r="D54" s="19" t="n">
        <f aca="false">MC346A!C48</f>
        <v>42</v>
      </c>
      <c r="E54" s="4" t="str">
        <f aca="false">MC346A!D48</f>
        <v>G</v>
      </c>
      <c r="F54" s="4" t="str">
        <f aca="false">MC346A!F48</f>
        <v>  </v>
      </c>
      <c r="G54" s="20" t="n">
        <f aca="false">'Prova Prolog'!I48</f>
        <v>2.2</v>
      </c>
      <c r="H54" s="20" t="n">
        <f aca="false">'Prova Haskell'!I48</f>
        <v>1.5</v>
      </c>
      <c r="I54" s="20" t="n">
        <f aca="false">'Prova Python'!I48</f>
        <v>0</v>
      </c>
      <c r="J54" s="20" t="n">
        <f aca="false">'Desafio Prolog'!O53</f>
        <v>9.06310785451981</v>
      </c>
      <c r="K54" s="20" t="n">
        <f aca="false">'Desafio Haskell'!P53</f>
        <v>5.92254388236473</v>
      </c>
      <c r="L54" s="20" t="n">
        <f aca="false">'Desafio Python'!P53</f>
        <v>0</v>
      </c>
      <c r="M54" s="20" t="n">
        <f aca="false">(2*G54+J54)/3</f>
        <v>4.48770261817327</v>
      </c>
      <c r="N54" s="20" t="n">
        <f aca="false">(2*H54+K54)/3</f>
        <v>2.97418129412158</v>
      </c>
      <c r="O54" s="20" t="n">
        <f aca="false">(2*I54+L54)/3</f>
        <v>0</v>
      </c>
      <c r="P54" s="20" t="n">
        <f aca="false">IF(AND(M54&gt;=4,N54&gt;=4,O54&gt;=4),M54/3+N54/3+O54/3,MIN(M54,N54,O54))</f>
        <v>0</v>
      </c>
      <c r="Q54" s="21"/>
      <c r="R54" s="21" t="n">
        <f aca="false">IF(AND(P54&gt;=5,ISBLANK(Q54)),P54,(P54+Q54)/2)</f>
        <v>0</v>
      </c>
      <c r="S54" s="11"/>
      <c r="T54" s="18" t="str">
        <f aca="false">C54</f>
        <v>Henrique Machado Gonçalves</v>
      </c>
    </row>
    <row r="55" customFormat="false" ht="12.8" hidden="false" customHeight="false" outlineLevel="0" collapsed="false">
      <c r="A55" s="9" t="n">
        <f aca="false">A54+1</f>
        <v>53</v>
      </c>
      <c r="B55" s="4" t="n">
        <f aca="false">MC346A!A49</f>
        <v>169820</v>
      </c>
      <c r="C55" s="18" t="str">
        <f aca="false">MC346A!B49</f>
        <v>Igor Matheus Andrade Torrente</v>
      </c>
      <c r="D55" s="19" t="n">
        <f aca="false">MC346A!C49</f>
        <v>42</v>
      </c>
      <c r="E55" s="4" t="str">
        <f aca="false">MC346A!D49</f>
        <v>G</v>
      </c>
      <c r="F55" s="4" t="str">
        <f aca="false">MC346A!F49</f>
        <v>  </v>
      </c>
      <c r="G55" s="20" t="n">
        <f aca="false">'Prova Prolog'!I49</f>
        <v>6.3</v>
      </c>
      <c r="H55" s="20" t="n">
        <f aca="false">'Prova Haskell'!I49</f>
        <v>4</v>
      </c>
      <c r="I55" s="20" t="n">
        <f aca="false">'Prova Python'!I49</f>
        <v>7.8</v>
      </c>
      <c r="J55" s="20" t="n">
        <f aca="false">'Desafio Prolog'!O54</f>
        <v>6.97441284886783</v>
      </c>
      <c r="K55" s="20" t="n">
        <f aca="false">'Desafio Haskell'!P54</f>
        <v>9.75152803525568</v>
      </c>
      <c r="L55" s="20" t="n">
        <f aca="false">'Desafio Python'!P54</f>
        <v>8.84535111951149</v>
      </c>
      <c r="M55" s="20" t="n">
        <f aca="false">(2*G55+J55)/3</f>
        <v>6.52480428295594</v>
      </c>
      <c r="N55" s="20" t="n">
        <f aca="false">(2*H55+K55)/3</f>
        <v>5.91717601175189</v>
      </c>
      <c r="O55" s="20" t="n">
        <f aca="false">(2*I55+L55)/3</f>
        <v>8.1484503731705</v>
      </c>
      <c r="P55" s="20" t="n">
        <f aca="false">IF(AND(M55&gt;=4,N55&gt;=4,O55&gt;=4),M55/3+N55/3+O55/3,MIN(M55,N55,O55))</f>
        <v>6.86347688929278</v>
      </c>
      <c r="Q55" s="21"/>
      <c r="R55" s="21" t="n">
        <f aca="false">IF(AND(P55&gt;=5,ISBLANK(Q55)),P55,(P55+Q55)/2)</f>
        <v>6.86347688929278</v>
      </c>
      <c r="S55" s="11"/>
      <c r="T55" s="18" t="str">
        <f aca="false">C55</f>
        <v>Igor Matheus Andrade Torrente</v>
      </c>
    </row>
    <row r="56" customFormat="false" ht="12.8" hidden="false" customHeight="false" outlineLevel="0" collapsed="false">
      <c r="A56" s="9" t="n">
        <f aca="false">A55+1</f>
        <v>54</v>
      </c>
      <c r="B56" s="4" t="n">
        <f aca="false">MC346A!A50</f>
        <v>170207</v>
      </c>
      <c r="C56" s="18" t="str">
        <f aca="false">MC346A!B50</f>
        <v>Italo Nicola Ponce Pasini Judice Neto</v>
      </c>
      <c r="D56" s="19" t="n">
        <f aca="false">MC346A!C50</f>
        <v>42</v>
      </c>
      <c r="E56" s="4" t="str">
        <f aca="false">MC346A!D50</f>
        <v>G</v>
      </c>
      <c r="F56" s="4" t="n">
        <f aca="false">MC346A!F50</f>
        <v>0</v>
      </c>
      <c r="G56" s="20" t="n">
        <f aca="false">'Prova Prolog'!I50</f>
        <v>3.2</v>
      </c>
      <c r="H56" s="20" t="n">
        <f aca="false">'Prova Haskell'!I50</f>
        <v>4.5</v>
      </c>
      <c r="I56" s="20" t="n">
        <f aca="false">'Prova Python'!I50</f>
        <v>8.5</v>
      </c>
      <c r="J56" s="20" t="n">
        <f aca="false">'Desafio Prolog'!O55</f>
        <v>6.32428380187416</v>
      </c>
      <c r="K56" s="20" t="n">
        <f aca="false">'Desafio Haskell'!P55</f>
        <v>9.85152803525568</v>
      </c>
      <c r="L56" s="20" t="n">
        <f aca="false">'Desafio Python'!P55</f>
        <v>8.79316877303733</v>
      </c>
      <c r="M56" s="20" t="n">
        <f aca="false">(2*G56+J56)/3</f>
        <v>4.24142793395806</v>
      </c>
      <c r="N56" s="20" t="n">
        <f aca="false">(2*H56+K56)/3</f>
        <v>6.28384267841856</v>
      </c>
      <c r="O56" s="20" t="n">
        <f aca="false">(2*I56+L56)/3</f>
        <v>8.59772292434578</v>
      </c>
      <c r="P56" s="20" t="n">
        <f aca="false">IF(AND(M56&gt;=4,N56&gt;=4,O56&gt;=4),M56/3+N56/3+O56/3,MIN(M56,N56,O56))</f>
        <v>6.37433117890746</v>
      </c>
      <c r="Q56" s="21"/>
      <c r="R56" s="21" t="n">
        <f aca="false">IF(AND(P56&gt;=5,ISBLANK(Q56)),P56,(P56+Q56)/2)</f>
        <v>6.37433117890746</v>
      </c>
      <c r="S56" s="11"/>
      <c r="T56" s="18" t="str">
        <f aca="false">C56</f>
        <v>Italo Nicola Ponce Pasini Judice Neto</v>
      </c>
    </row>
    <row r="57" customFormat="false" ht="12.8" hidden="false" customHeight="false" outlineLevel="0" collapsed="false">
      <c r="A57" s="9" t="n">
        <f aca="false">A56+1</f>
        <v>55</v>
      </c>
      <c r="B57" s="4" t="n">
        <f aca="false">MC346A!A51</f>
        <v>170710</v>
      </c>
      <c r="C57" s="18" t="str">
        <f aca="false">MC346A!B51</f>
        <v>João Victor Fernandes Silva</v>
      </c>
      <c r="D57" s="19" t="n">
        <f aca="false">MC346A!C51</f>
        <v>34</v>
      </c>
      <c r="E57" s="4" t="str">
        <f aca="false">MC346A!D51</f>
        <v>G</v>
      </c>
      <c r="F57" s="4" t="str">
        <f aca="false">MC346A!F51</f>
        <v>AA</v>
      </c>
      <c r="G57" s="20" t="n">
        <f aca="false">'Prova Prolog'!I51</f>
        <v>5</v>
      </c>
      <c r="H57" s="20" t="n">
        <f aca="false">'Prova Haskell'!I51</f>
        <v>2</v>
      </c>
      <c r="I57" s="20" t="n">
        <f aca="false">'Prova Python'!I51</f>
        <v>6</v>
      </c>
      <c r="J57" s="20" t="n">
        <f aca="false">'Desafio Prolog'!O56</f>
        <v>4.93278623609965</v>
      </c>
      <c r="K57" s="20" t="n">
        <f aca="false">'Desafio Haskell'!P56</f>
        <v>5.85830316608314</v>
      </c>
      <c r="L57" s="20" t="n">
        <f aca="false">'Desafio Python'!P56</f>
        <v>7.66344576116682</v>
      </c>
      <c r="M57" s="20" t="n">
        <f aca="false">(2*G57+J57)/3</f>
        <v>4.97759541203321</v>
      </c>
      <c r="N57" s="20" t="n">
        <f aca="false">(2*H57+K57)/3</f>
        <v>3.28610105536105</v>
      </c>
      <c r="O57" s="20" t="n">
        <f aca="false">(2*I57+L57)/3</f>
        <v>6.55448192038894</v>
      </c>
      <c r="P57" s="20" t="n">
        <f aca="false">IF(AND(M57&gt;=4,N57&gt;=4,O57&gt;=4),M57/3+N57/3+O57/3,MIN(M57,N57,O57))</f>
        <v>3.28610105536105</v>
      </c>
      <c r="Q57" s="21" t="n">
        <f aca="false">Exame!I51</f>
        <v>6.8</v>
      </c>
      <c r="R57" s="21" t="n">
        <f aca="false">IF(AND(P57&gt;=5,ISBLANK(Q57)),P57,(P57+Q57)/2)</f>
        <v>5.04305052768053</v>
      </c>
      <c r="S57" s="11"/>
      <c r="T57" s="18" t="str">
        <f aca="false">C57</f>
        <v>João Victor Fernandes Silva</v>
      </c>
    </row>
    <row r="58" customFormat="false" ht="12.8" hidden="false" customHeight="false" outlineLevel="0" collapsed="false">
      <c r="A58" s="9" t="n">
        <f aca="false">A57+1</f>
        <v>56</v>
      </c>
      <c r="B58" s="4" t="n">
        <f aca="false">MC346A!A52</f>
        <v>171866</v>
      </c>
      <c r="C58" s="18" t="str">
        <f aca="false">MC346A!B52</f>
        <v>Leila Pompeu Zwanziger</v>
      </c>
      <c r="D58" s="19" t="n">
        <f aca="false">MC346A!C52</f>
        <v>42</v>
      </c>
      <c r="E58" s="4" t="str">
        <f aca="false">MC346A!D52</f>
        <v>G</v>
      </c>
      <c r="F58" s="4" t="str">
        <f aca="false">MC346A!F52</f>
        <v>  </v>
      </c>
      <c r="G58" s="20" t="n">
        <f aca="false">'Prova Prolog'!I52</f>
        <v>8.5</v>
      </c>
      <c r="H58" s="20" t="n">
        <f aca="false">'Prova Haskell'!I52</f>
        <v>5.9</v>
      </c>
      <c r="I58" s="20" t="n">
        <f aca="false">'Prova Python'!I52</f>
        <v>9.3</v>
      </c>
      <c r="J58" s="20" t="n">
        <f aca="false">'Desafio Prolog'!O57</f>
        <v>8.23566889483977</v>
      </c>
      <c r="K58" s="20" t="n">
        <f aca="false">'Desafio Haskell'!P57</f>
        <v>9.99254316863299</v>
      </c>
      <c r="L58" s="20" t="n">
        <f aca="false">'Desafio Python'!P57</f>
        <v>9.96362388469458</v>
      </c>
      <c r="M58" s="20" t="n">
        <f aca="false">(2*G58+J58)/3</f>
        <v>8.41188963161326</v>
      </c>
      <c r="N58" s="20" t="n">
        <f aca="false">(2*H58+K58)/3</f>
        <v>7.264181056211</v>
      </c>
      <c r="O58" s="20" t="n">
        <f aca="false">(2*I58+L58)/3</f>
        <v>9.52120796156486</v>
      </c>
      <c r="P58" s="20" t="n">
        <f aca="false">IF(AND(M58&gt;=4,N58&gt;=4,O58&gt;=4),M58/3+N58/3+O58/3,MIN(M58,N58,O58))</f>
        <v>8.3990928831297</v>
      </c>
      <c r="Q58" s="21"/>
      <c r="R58" s="21" t="n">
        <f aca="false">IF(AND(P58&gt;=5,ISBLANK(Q58)),P58,(P58+Q58)/2)</f>
        <v>8.3990928831297</v>
      </c>
      <c r="S58" s="11"/>
      <c r="T58" s="18" t="str">
        <f aca="false">C58</f>
        <v>Leila Pompeu Zwanziger</v>
      </c>
    </row>
    <row r="59" customFormat="false" ht="12.8" hidden="false" customHeight="false" outlineLevel="0" collapsed="false">
      <c r="A59" s="9" t="n">
        <f aca="false">A58+1</f>
        <v>57</v>
      </c>
      <c r="B59" s="4" t="n">
        <f aca="false">MC346A!A53</f>
        <v>172017</v>
      </c>
      <c r="C59" s="18" t="str">
        <f aca="false">MC346A!B53</f>
        <v>Leonardo Maldonado Pagnez</v>
      </c>
      <c r="D59" s="19" t="n">
        <f aca="false">MC346A!C53</f>
        <v>34</v>
      </c>
      <c r="E59" s="4" t="str">
        <f aca="false">MC346A!D53</f>
        <v>G</v>
      </c>
      <c r="F59" s="4" t="str">
        <f aca="false">MC346A!F53</f>
        <v>AA</v>
      </c>
      <c r="G59" s="20" t="n">
        <f aca="false">'Prova Prolog'!I53</f>
        <v>7.6</v>
      </c>
      <c r="H59" s="20" t="n">
        <f aca="false">'Prova Haskell'!I53</f>
        <v>3.5</v>
      </c>
      <c r="I59" s="20" t="n">
        <f aca="false">'Prova Python'!I53</f>
        <v>7.8</v>
      </c>
      <c r="J59" s="20" t="n">
        <f aca="false">'Desafio Prolog'!O58</f>
        <v>0.961433101858565</v>
      </c>
      <c r="K59" s="20" t="n">
        <f aca="false">'Desafio Haskell'!P58</f>
        <v>3.64940637359229</v>
      </c>
      <c r="L59" s="20" t="n">
        <f aca="false">'Desafio Python'!P58</f>
        <v>4.77929792979298</v>
      </c>
      <c r="M59" s="20" t="n">
        <f aca="false">(2*G59+J59)/3</f>
        <v>5.38714436728619</v>
      </c>
      <c r="N59" s="20" t="n">
        <f aca="false">(2*H59+K59)/3</f>
        <v>3.54980212453076</v>
      </c>
      <c r="O59" s="20" t="n">
        <f aca="false">(2*I59+L59)/3</f>
        <v>6.79309930993099</v>
      </c>
      <c r="P59" s="20" t="n">
        <f aca="false">IF(AND(M59&gt;=4,N59&gt;=4,O59&gt;=4),M59/3+N59/3+O59/3,MIN(M59,N59,O59))</f>
        <v>3.54980212453076</v>
      </c>
      <c r="Q59" s="21" t="n">
        <f aca="false">Exame!I53</f>
        <v>7.8</v>
      </c>
      <c r="R59" s="21" t="n">
        <f aca="false">IF(AND(P59&gt;=5,ISBLANK(Q59)),P59,(P59+Q59)/2)</f>
        <v>5.67490106226538</v>
      </c>
      <c r="S59" s="11"/>
      <c r="T59" s="18" t="str">
        <f aca="false">C59</f>
        <v>Leonardo Maldonado Pagnez</v>
      </c>
    </row>
    <row r="60" customFormat="false" ht="12.8" hidden="false" customHeight="false" outlineLevel="0" collapsed="false">
      <c r="A60" s="9" t="n">
        <f aca="false">A59+1</f>
        <v>58</v>
      </c>
      <c r="B60" s="4" t="n">
        <f aca="false">MC346A!A54</f>
        <v>172519</v>
      </c>
      <c r="C60" s="18" t="str">
        <f aca="false">MC346A!B54</f>
        <v>Luara Peres Oliveira da Silva</v>
      </c>
      <c r="D60" s="19" t="n">
        <f aca="false">MC346A!C54</f>
        <v>42</v>
      </c>
      <c r="E60" s="4" t="str">
        <f aca="false">MC346A!D54</f>
        <v>G</v>
      </c>
      <c r="F60" s="4" t="str">
        <f aca="false">MC346A!F54</f>
        <v>  </v>
      </c>
      <c r="G60" s="20" t="n">
        <f aca="false">'Prova Prolog'!I54</f>
        <v>6.5</v>
      </c>
      <c r="H60" s="20" t="n">
        <f aca="false">'Prova Haskell'!I54</f>
        <v>3</v>
      </c>
      <c r="I60" s="20" t="n">
        <f aca="false">'Prova Python'!I54</f>
        <v>7</v>
      </c>
      <c r="J60" s="20" t="n">
        <f aca="false">'Desafio Prolog'!O59</f>
        <v>3.28943170927723</v>
      </c>
      <c r="K60" s="20" t="n">
        <f aca="false">'Desafio Haskell'!P59</f>
        <v>1.79820675816395</v>
      </c>
      <c r="L60" s="20" t="n">
        <f aca="false">'Desafio Python'!P59</f>
        <v>1.62514020070969</v>
      </c>
      <c r="M60" s="20" t="n">
        <f aca="false">(2*G60+J60)/3</f>
        <v>5.42981056975908</v>
      </c>
      <c r="N60" s="20" t="n">
        <f aca="false">(2*H60+K60)/3</f>
        <v>2.59940225272132</v>
      </c>
      <c r="O60" s="20" t="n">
        <f aca="false">(2*I60+L60)/3</f>
        <v>5.20838006690323</v>
      </c>
      <c r="P60" s="20" t="n">
        <f aca="false">IF(AND(M60&gt;=4,N60&gt;=4,O60&gt;=4),M60/3+N60/3+O60/3,MIN(M60,N60,O60))</f>
        <v>2.59940225272132</v>
      </c>
      <c r="Q60" s="21" t="n">
        <f aca="false">Exame!I54</f>
        <v>8.3</v>
      </c>
      <c r="R60" s="21" t="n">
        <f aca="false">IF(AND(P60&gt;=5,ISBLANK(Q60)),P60,(P60+Q60)/2)</f>
        <v>5.44970112636066</v>
      </c>
      <c r="S60" s="11"/>
      <c r="T60" s="18" t="str">
        <f aca="false">C60</f>
        <v>Luara Peres Oliveira da Silva</v>
      </c>
    </row>
    <row r="61" customFormat="false" ht="12.8" hidden="false" customHeight="false" outlineLevel="0" collapsed="false">
      <c r="A61" s="9" t="n">
        <f aca="false">A60+1</f>
        <v>59</v>
      </c>
      <c r="B61" s="4" t="n">
        <f aca="false">MC346A!A55</f>
        <v>172608</v>
      </c>
      <c r="C61" s="18" t="str">
        <f aca="false">MC346A!B55</f>
        <v>Lucas Brito Ferreira Matos</v>
      </c>
      <c r="D61" s="19" t="n">
        <f aca="false">MC346A!C55</f>
        <v>42</v>
      </c>
      <c r="E61" s="4" t="str">
        <f aca="false">MC346A!D55</f>
        <v>G</v>
      </c>
      <c r="F61" s="4" t="str">
        <f aca="false">MC346A!F55</f>
        <v>  </v>
      </c>
      <c r="G61" s="20" t="n">
        <f aca="false">'Prova Prolog'!I55</f>
        <v>6.5</v>
      </c>
      <c r="H61" s="20" t="n">
        <f aca="false">'Prova Haskell'!I55</f>
        <v>6.5</v>
      </c>
      <c r="I61" s="20" t="n">
        <f aca="false">'Prova Python'!I55</f>
        <v>7</v>
      </c>
      <c r="J61" s="20" t="n">
        <f aca="false">'Desafio Prolog'!O60</f>
        <v>1</v>
      </c>
      <c r="K61" s="20" t="n">
        <f aca="false">'Desafio Haskell'!P60</f>
        <v>9.50875649012564</v>
      </c>
      <c r="L61" s="20" t="n">
        <f aca="false">'Desafio Python'!P60</f>
        <v>7.26097585529613</v>
      </c>
      <c r="M61" s="20" t="n">
        <f aca="false">(2*G61+J61)/3</f>
        <v>4.66666666666667</v>
      </c>
      <c r="N61" s="20" t="n">
        <f aca="false">(2*H61+K61)/3</f>
        <v>7.50291883004188</v>
      </c>
      <c r="O61" s="20" t="n">
        <f aca="false">(2*I61+L61)/3</f>
        <v>7.08699195176538</v>
      </c>
      <c r="P61" s="20" t="n">
        <f aca="false">IF(AND(M61&gt;=4,N61&gt;=4,O61&gt;=4),M61/3+N61/3+O61/3,MIN(M61,N61,O61))</f>
        <v>6.41885914949131</v>
      </c>
      <c r="Q61" s="21"/>
      <c r="R61" s="21" t="n">
        <f aca="false">IF(AND(P61&gt;=5,ISBLANK(Q61)),P61,(P61+Q61)/2)</f>
        <v>6.41885914949131</v>
      </c>
      <c r="S61" s="11"/>
      <c r="T61" s="18" t="str">
        <f aca="false">C61</f>
        <v>Lucas Brito Ferreira Matos</v>
      </c>
    </row>
    <row r="62" customFormat="false" ht="12.8" hidden="false" customHeight="false" outlineLevel="0" collapsed="false">
      <c r="A62" s="9" t="n">
        <f aca="false">A61+1</f>
        <v>60</v>
      </c>
      <c r="B62" s="4" t="n">
        <f aca="false">MC346A!A56</f>
        <v>172655</v>
      </c>
      <c r="C62" s="18" t="str">
        <f aca="false">MC346A!B56</f>
        <v>Lucas Cunha Agustini</v>
      </c>
      <c r="D62" s="19" t="n">
        <f aca="false">MC346A!C56</f>
        <v>42</v>
      </c>
      <c r="E62" s="4" t="str">
        <f aca="false">MC346A!D56</f>
        <v>G</v>
      </c>
      <c r="F62" s="4" t="str">
        <f aca="false">MC346A!F56</f>
        <v>  </v>
      </c>
      <c r="G62" s="20" t="n">
        <f aca="false">'Prova Prolog'!I56</f>
        <v>5.3</v>
      </c>
      <c r="H62" s="20" t="n">
        <f aca="false">'Prova Haskell'!I56</f>
        <v>4.5</v>
      </c>
      <c r="I62" s="20" t="n">
        <f aca="false">'Prova Python'!I56</f>
        <v>6.5</v>
      </c>
      <c r="J62" s="20" t="n">
        <f aca="false">'Desafio Prolog'!O61</f>
        <v>7.91939955522609</v>
      </c>
      <c r="K62" s="20" t="n">
        <f aca="false">'Desafio Haskell'!P61</f>
        <v>9.75152803525568</v>
      </c>
      <c r="L62" s="20" t="n">
        <f aca="false">'Desafio Python'!P61</f>
        <v>9.3336259420067</v>
      </c>
      <c r="M62" s="20" t="n">
        <f aca="false">(2*G62+J62)/3</f>
        <v>6.17313318507537</v>
      </c>
      <c r="N62" s="20" t="n">
        <f aca="false">(2*H62+K62)/3</f>
        <v>6.25050934508523</v>
      </c>
      <c r="O62" s="20" t="n">
        <f aca="false">(2*I62+L62)/3</f>
        <v>7.4445419806689</v>
      </c>
      <c r="P62" s="20" t="n">
        <f aca="false">IF(AND(M62&gt;=4,N62&gt;=4,O62&gt;=4),M62/3+N62/3+O62/3,MIN(M62,N62,O62))</f>
        <v>6.6227281702765</v>
      </c>
      <c r="Q62" s="21"/>
      <c r="R62" s="21" t="n">
        <f aca="false">IF(AND(P62&gt;=5,ISBLANK(Q62)),P62,(P62+Q62)/2)</f>
        <v>6.6227281702765</v>
      </c>
      <c r="S62" s="11"/>
      <c r="T62" s="18" t="str">
        <f aca="false">C62</f>
        <v>Lucas Cunha Agustini</v>
      </c>
    </row>
    <row r="63" customFormat="false" ht="12.8" hidden="false" customHeight="false" outlineLevel="0" collapsed="false">
      <c r="A63" s="9" t="n">
        <f aca="false">A62+1</f>
        <v>61</v>
      </c>
      <c r="B63" s="4" t="n">
        <f aca="false">MC346A!A57</f>
        <v>173728</v>
      </c>
      <c r="C63" s="18" t="str">
        <f aca="false">MC346A!B57</f>
        <v>Marcus Danilo Leite Rodrigues</v>
      </c>
      <c r="D63" s="19" t="n">
        <f aca="false">MC346A!C57</f>
        <v>34</v>
      </c>
      <c r="E63" s="4" t="str">
        <f aca="false">MC346A!D57</f>
        <v>G</v>
      </c>
      <c r="F63" s="4" t="str">
        <f aca="false">MC346A!F57</f>
        <v>AA</v>
      </c>
      <c r="G63" s="20" t="n">
        <f aca="false">'Prova Prolog'!I57</f>
        <v>0</v>
      </c>
      <c r="H63" s="20" t="n">
        <f aca="false">'Prova Haskell'!I57</f>
        <v>0</v>
      </c>
      <c r="I63" s="20" t="n">
        <f aca="false">'Prova Python'!I57</f>
        <v>0</v>
      </c>
      <c r="J63" s="20" t="n">
        <f aca="false">'Desafio Prolog'!O62</f>
        <v>0</v>
      </c>
      <c r="K63" s="20" t="n">
        <f aca="false">'Desafio Haskell'!P62</f>
        <v>0</v>
      </c>
      <c r="L63" s="20" t="n">
        <f aca="false">'Desafio Python'!P62</f>
        <v>0</v>
      </c>
      <c r="M63" s="20" t="n">
        <f aca="false">(2*G63+J63)/3</f>
        <v>0</v>
      </c>
      <c r="N63" s="20" t="n">
        <f aca="false">(2*H63+K63)/3</f>
        <v>0</v>
      </c>
      <c r="O63" s="20" t="n">
        <f aca="false">(2*I63+L63)/3</f>
        <v>0</v>
      </c>
      <c r="P63" s="20" t="n">
        <f aca="false">IF(AND(M63&gt;=4,N63&gt;=4,O63&gt;=4),M63/3+N63/3+O63/3,MIN(M63,N63,O63))</f>
        <v>0</v>
      </c>
      <c r="Q63" s="21"/>
      <c r="R63" s="21" t="n">
        <f aca="false">IF(AND(P63&gt;=5,ISBLANK(Q63)),P63,(P63+Q63)/2)</f>
        <v>0</v>
      </c>
      <c r="S63" s="11"/>
      <c r="T63" s="18" t="str">
        <f aca="false">C63</f>
        <v>Marcus Danilo Leite Rodrigues</v>
      </c>
    </row>
    <row r="64" customFormat="false" ht="12.8" hidden="false" customHeight="false" outlineLevel="0" collapsed="false">
      <c r="A64" s="9" t="n">
        <f aca="false">A63+1</f>
        <v>62</v>
      </c>
      <c r="B64" s="4" t="n">
        <f aca="false">MC346A!A58</f>
        <v>174233</v>
      </c>
      <c r="C64" s="18" t="str">
        <f aca="false">MC346A!B58</f>
        <v>Marina Miranda Aranha</v>
      </c>
      <c r="D64" s="19" t="n">
        <f aca="false">MC346A!C58</f>
        <v>42</v>
      </c>
      <c r="E64" s="4" t="str">
        <f aca="false">MC346A!D58</f>
        <v>G</v>
      </c>
      <c r="F64" s="4" t="str">
        <f aca="false">MC346A!F58</f>
        <v>  </v>
      </c>
      <c r="G64" s="20" t="n">
        <f aca="false">'Prova Prolog'!I58</f>
        <v>4.7</v>
      </c>
      <c r="H64" s="20" t="n">
        <f aca="false">'Prova Haskell'!I58</f>
        <v>2.5</v>
      </c>
      <c r="I64" s="20" t="n">
        <f aca="false">'Prova Python'!I58</f>
        <v>4.8</v>
      </c>
      <c r="J64" s="20" t="n">
        <f aca="false">'Desafio Prolog'!O63</f>
        <v>1.74</v>
      </c>
      <c r="K64" s="20" t="n">
        <f aca="false">'Desafio Haskell'!P63</f>
        <v>9.57903764376837</v>
      </c>
      <c r="L64" s="20" t="n">
        <f aca="false">'Desafio Python'!P63</f>
        <v>2.04522645617623</v>
      </c>
      <c r="M64" s="20" t="n">
        <f aca="false">(2*G64+J64)/3</f>
        <v>3.71333333333333</v>
      </c>
      <c r="N64" s="20" t="n">
        <f aca="false">(2*H64+K64)/3</f>
        <v>4.85967921458946</v>
      </c>
      <c r="O64" s="20" t="n">
        <f aca="false">(2*I64+L64)/3</f>
        <v>3.88174215205874</v>
      </c>
      <c r="P64" s="20" t="n">
        <f aca="false">IF(AND(M64&gt;=4,N64&gt;=4,O64&gt;=4),M64/3+N64/3+O64/3,MIN(M64,N64,O64))</f>
        <v>3.71333333333333</v>
      </c>
      <c r="Q64" s="21" t="n">
        <f aca="false">Exame!I58</f>
        <v>6.3</v>
      </c>
      <c r="R64" s="21" t="n">
        <f aca="false">IF(AND(P64&gt;=5,ISBLANK(Q64)),P64,(P64+Q64)/2)</f>
        <v>5.00666666666667</v>
      </c>
      <c r="S64" s="11"/>
      <c r="T64" s="18" t="str">
        <f aca="false">C64</f>
        <v>Marina Miranda Aranha</v>
      </c>
    </row>
    <row r="65" customFormat="false" ht="12.8" hidden="false" customHeight="false" outlineLevel="0" collapsed="false">
      <c r="A65" s="9" t="n">
        <f aca="false">A64+1</f>
        <v>63</v>
      </c>
      <c r="B65" s="4" t="n">
        <f aca="false">MC346A!A59</f>
        <v>174847</v>
      </c>
      <c r="C65" s="18" t="str">
        <f aca="false">MC346A!B59</f>
        <v>Miguel Augusto Silva Guida</v>
      </c>
      <c r="D65" s="19" t="n">
        <f aca="false">MC346A!C59</f>
        <v>42</v>
      </c>
      <c r="E65" s="4" t="str">
        <f aca="false">MC346A!D59</f>
        <v>G</v>
      </c>
      <c r="F65" s="4" t="str">
        <f aca="false">MC346A!F59</f>
        <v>  </v>
      </c>
      <c r="G65" s="20" t="n">
        <f aca="false">'Prova Prolog'!I59</f>
        <v>3</v>
      </c>
      <c r="H65" s="20" t="n">
        <f aca="false">'Prova Haskell'!I59</f>
        <v>0</v>
      </c>
      <c r="I65" s="20" t="n">
        <f aca="false">'Prova Python'!I59</f>
        <v>0</v>
      </c>
      <c r="J65" s="20" t="n">
        <f aca="false">'Desafio Prolog'!O64</f>
        <v>0</v>
      </c>
      <c r="K65" s="20" t="n">
        <f aca="false">'Desafio Haskell'!P64</f>
        <v>0</v>
      </c>
      <c r="L65" s="20" t="n">
        <f aca="false">'Desafio Python'!P64</f>
        <v>0</v>
      </c>
      <c r="M65" s="20" t="n">
        <f aca="false">(2*G65+J65)/3</f>
        <v>2</v>
      </c>
      <c r="N65" s="20" t="n">
        <f aca="false">(2*H65+K65)/3</f>
        <v>0</v>
      </c>
      <c r="O65" s="20" t="n">
        <f aca="false">(2*I65+L65)/3</f>
        <v>0</v>
      </c>
      <c r="P65" s="20" t="n">
        <f aca="false">IF(AND(M65&gt;=4,N65&gt;=4,O65&gt;=4),M65/3+N65/3+O65/3,MIN(M65,N65,O65))</f>
        <v>0</v>
      </c>
      <c r="Q65" s="21"/>
      <c r="R65" s="21" t="n">
        <f aca="false">IF(AND(P65&gt;=5,ISBLANK(Q65)),P65,(P65+Q65)/2)</f>
        <v>0</v>
      </c>
      <c r="S65" s="11"/>
      <c r="T65" s="18" t="str">
        <f aca="false">C65</f>
        <v>Miguel Augusto Silva Guida</v>
      </c>
    </row>
    <row r="66" customFormat="false" ht="12.8" hidden="false" customHeight="false" outlineLevel="0" collapsed="false">
      <c r="A66" s="9" t="n">
        <f aca="false">A65+1</f>
        <v>64</v>
      </c>
      <c r="B66" s="4" t="n">
        <f aca="false">MC346A!A60</f>
        <v>175828</v>
      </c>
      <c r="C66" s="18" t="str">
        <f aca="false">MC346A!B60</f>
        <v>Pedro Hideaki Uiechi Chinen</v>
      </c>
      <c r="D66" s="19" t="n">
        <f aca="false">MC346A!C60</f>
        <v>42</v>
      </c>
      <c r="E66" s="4" t="str">
        <f aca="false">MC346A!D60</f>
        <v>G</v>
      </c>
      <c r="F66" s="4" t="str">
        <f aca="false">MC346A!F60</f>
        <v>  </v>
      </c>
      <c r="G66" s="20" t="n">
        <f aca="false">'Prova Prolog'!I60</f>
        <v>9</v>
      </c>
      <c r="H66" s="20" t="n">
        <f aca="false">'Prova Haskell'!I60</f>
        <v>4.2</v>
      </c>
      <c r="I66" s="20" t="n">
        <f aca="false">'Prova Python'!I60</f>
        <v>9</v>
      </c>
      <c r="J66" s="20" t="n">
        <f aca="false">'Desafio Prolog'!O65</f>
        <v>6.02870014347202</v>
      </c>
      <c r="K66" s="20" t="n">
        <f aca="false">'Desafio Haskell'!P65</f>
        <v>7.8002870439145</v>
      </c>
      <c r="L66" s="20" t="n">
        <f aca="false">'Desafio Python'!P65</f>
        <v>8.86367970937713</v>
      </c>
      <c r="M66" s="20" t="n">
        <f aca="false">(2*G66+J66)/3</f>
        <v>8.00956671449067</v>
      </c>
      <c r="N66" s="20" t="n">
        <f aca="false">(2*H66+K66)/3</f>
        <v>5.40009568130483</v>
      </c>
      <c r="O66" s="20" t="n">
        <f aca="false">(2*I66+L66)/3</f>
        <v>8.95455990312571</v>
      </c>
      <c r="P66" s="20" t="n">
        <f aca="false">IF(AND(M66&gt;=4,N66&gt;=4,O66&gt;=4),M66/3+N66/3+O66/3,MIN(M66,N66,O66))</f>
        <v>7.45474076630707</v>
      </c>
      <c r="Q66" s="21"/>
      <c r="R66" s="21" t="n">
        <f aca="false">IF(AND(P66&gt;=5,ISBLANK(Q66)),P66,(P66+Q66)/2)</f>
        <v>7.45474076630707</v>
      </c>
      <c r="S66" s="11"/>
      <c r="T66" s="18" t="str">
        <f aca="false">C66</f>
        <v>Pedro Hideaki Uiechi Chinen</v>
      </c>
    </row>
    <row r="67" customFormat="false" ht="12.8" hidden="false" customHeight="false" outlineLevel="0" collapsed="false">
      <c r="A67" s="9" t="n">
        <f aca="false">A66+1</f>
        <v>65</v>
      </c>
      <c r="B67" s="4" t="n">
        <f aca="false">MC346A!A61</f>
        <v>175955</v>
      </c>
      <c r="C67" s="18" t="str">
        <f aca="false">MC346A!B61</f>
        <v>Pedro Stramantinoli Pires Cagliume Gomes</v>
      </c>
      <c r="D67" s="19" t="n">
        <f aca="false">MC346A!C61</f>
        <v>34</v>
      </c>
      <c r="E67" s="4" t="str">
        <f aca="false">MC346A!D61</f>
        <v>G</v>
      </c>
      <c r="F67" s="4" t="str">
        <f aca="false">MC346A!F61</f>
        <v>AA</v>
      </c>
      <c r="G67" s="20" t="n">
        <f aca="false">'Prova Prolog'!I61</f>
        <v>0</v>
      </c>
      <c r="H67" s="20" t="n">
        <f aca="false">'Prova Haskell'!I61</f>
        <v>0</v>
      </c>
      <c r="I67" s="20" t="n">
        <f aca="false">'Prova Python'!I61</f>
        <v>0</v>
      </c>
      <c r="J67" s="20" t="n">
        <f aca="false">'Desafio Prolog'!O66</f>
        <v>0</v>
      </c>
      <c r="K67" s="20" t="n">
        <f aca="false">'Desafio Haskell'!P66</f>
        <v>0</v>
      </c>
      <c r="L67" s="20" t="n">
        <f aca="false">'Desafio Python'!P66</f>
        <v>0</v>
      </c>
      <c r="M67" s="20" t="n">
        <f aca="false">(2*G67+J67)/3</f>
        <v>0</v>
      </c>
      <c r="N67" s="20" t="n">
        <f aca="false">(2*H67+K67)/3</f>
        <v>0</v>
      </c>
      <c r="O67" s="20" t="n">
        <f aca="false">(2*I67+L67)/3</f>
        <v>0</v>
      </c>
      <c r="P67" s="20" t="n">
        <f aca="false">IF(AND(M67&gt;=4,N67&gt;=4,O67&gt;=4),M67/3+N67/3+O67/3,MIN(M67,N67,O67))</f>
        <v>0</v>
      </c>
      <c r="Q67" s="21"/>
      <c r="R67" s="21" t="n">
        <f aca="false">IF(AND(P67&gt;=5,ISBLANK(Q67)),P67,(P67+Q67)/2)</f>
        <v>0</v>
      </c>
      <c r="S67" s="11"/>
      <c r="T67" s="18" t="str">
        <f aca="false">C67</f>
        <v>Pedro Stramantinoli Pires Cagliume Gomes</v>
      </c>
    </row>
    <row r="68" customFormat="false" ht="12.8" hidden="false" customHeight="false" outlineLevel="0" collapsed="false">
      <c r="A68" s="9" t="n">
        <f aca="false">A67+1</f>
        <v>66</v>
      </c>
      <c r="B68" s="4" t="n">
        <f aca="false">MC346A!A62</f>
        <v>176081</v>
      </c>
      <c r="C68" s="18" t="str">
        <f aca="false">MC346A!B62</f>
        <v>Rafael Bueno Lamarques Alves</v>
      </c>
      <c r="D68" s="19" t="n">
        <f aca="false">MC346A!C62</f>
        <v>42</v>
      </c>
      <c r="E68" s="4" t="str">
        <f aca="false">MC346A!D62</f>
        <v>G</v>
      </c>
      <c r="F68" s="4" t="str">
        <f aca="false">MC346A!F62</f>
        <v>  </v>
      </c>
      <c r="G68" s="20" t="n">
        <f aca="false">'Prova Prolog'!I62</f>
        <v>6.5</v>
      </c>
      <c r="H68" s="20" t="n">
        <f aca="false">'Prova Haskell'!I62</f>
        <v>4.7</v>
      </c>
      <c r="I68" s="20" t="n">
        <f aca="false">'Prova Python'!I62</f>
        <v>4.3</v>
      </c>
      <c r="J68" s="20" t="n">
        <f aca="false">'Desafio Prolog'!O67</f>
        <v>9.55760644409161</v>
      </c>
      <c r="K68" s="20" t="n">
        <f aca="false">'Desafio Haskell'!P67</f>
        <v>9.56964632763787</v>
      </c>
      <c r="L68" s="20" t="n">
        <f aca="false">'Desafio Python'!P67</f>
        <v>9.82996022978347</v>
      </c>
      <c r="M68" s="20" t="n">
        <f aca="false">(2*G68+J68)/3</f>
        <v>7.51920214803054</v>
      </c>
      <c r="N68" s="20" t="n">
        <f aca="false">(2*H68+K68)/3</f>
        <v>6.32321544254596</v>
      </c>
      <c r="O68" s="20" t="n">
        <f aca="false">(2*I68+L68)/3</f>
        <v>6.14332007659449</v>
      </c>
      <c r="P68" s="20" t="n">
        <f aca="false">IF(AND(M68&gt;=4,N68&gt;=4,O68&gt;=4),M68/3+N68/3+O68/3,MIN(M68,N68,O68))</f>
        <v>6.66191255572366</v>
      </c>
      <c r="Q68" s="21"/>
      <c r="R68" s="21" t="n">
        <f aca="false">IF(AND(P68&gt;=5,ISBLANK(Q68)),P68,(P68+Q68)/2)</f>
        <v>6.66191255572366</v>
      </c>
      <c r="S68" s="11"/>
      <c r="T68" s="18" t="str">
        <f aca="false">C68</f>
        <v>Rafael Bueno Lamarques Alves</v>
      </c>
    </row>
    <row r="69" customFormat="false" ht="12.8" hidden="false" customHeight="false" outlineLevel="0" collapsed="false">
      <c r="A69" s="9" t="n">
        <f aca="false">A68+1</f>
        <v>67</v>
      </c>
      <c r="B69" s="4" t="n">
        <f aca="false">MC346A!A63</f>
        <v>176127</v>
      </c>
      <c r="C69" s="18" t="str">
        <f aca="false">MC346A!B63</f>
        <v>Rafael Eiki Matheus Imamura</v>
      </c>
      <c r="D69" s="19" t="n">
        <f aca="false">MC346A!C63</f>
        <v>42</v>
      </c>
      <c r="E69" s="4" t="str">
        <f aca="false">MC346A!D63</f>
        <v>G</v>
      </c>
      <c r="F69" s="4" t="str">
        <f aca="false">MC346A!F63</f>
        <v>  </v>
      </c>
      <c r="G69" s="20" t="n">
        <f aca="false">'Prova Prolog'!I63</f>
        <v>10</v>
      </c>
      <c r="H69" s="20" t="n">
        <f aca="false">'Prova Haskell'!I63</f>
        <v>8.4</v>
      </c>
      <c r="I69" s="20" t="n">
        <f aca="false">'Prova Python'!I63</f>
        <v>8.5</v>
      </c>
      <c r="J69" s="20" t="n">
        <f aca="false">'Desafio Prolog'!O68</f>
        <v>9.43906752662863</v>
      </c>
      <c r="K69" s="20" t="n">
        <f aca="false">'Desafio Haskell'!P68</f>
        <v>9.99853438683423</v>
      </c>
      <c r="L69" s="20" t="n">
        <f aca="false">'Desafio Python'!P68</f>
        <v>9.92996022978347</v>
      </c>
      <c r="M69" s="20" t="n">
        <f aca="false">(2*G69+J69)/3</f>
        <v>9.81302250887621</v>
      </c>
      <c r="N69" s="20" t="n">
        <f aca="false">(2*H69+K69)/3</f>
        <v>8.93284479561141</v>
      </c>
      <c r="O69" s="20" t="n">
        <f aca="false">(2*I69+L69)/3</f>
        <v>8.97665340992783</v>
      </c>
      <c r="P69" s="20" t="n">
        <f aca="false">IF(AND(M69&gt;=4,N69&gt;=4,O69&gt;=4),M69/3+N69/3+O69/3,MIN(M69,N69,O69))</f>
        <v>9.24084023813848</v>
      </c>
      <c r="Q69" s="21"/>
      <c r="R69" s="21" t="n">
        <f aca="false">IF(AND(P69&gt;=5,ISBLANK(Q69)),P69,(P69+Q69)/2)</f>
        <v>9.24084023813848</v>
      </c>
      <c r="S69" s="11"/>
      <c r="T69" s="18" t="str">
        <f aca="false">C69</f>
        <v>Rafael Eiki Matheus Imamura</v>
      </c>
    </row>
    <row r="70" customFormat="false" ht="12.8" hidden="false" customHeight="false" outlineLevel="0" collapsed="false">
      <c r="A70" s="9" t="n">
        <f aca="false">A69+1</f>
        <v>68</v>
      </c>
      <c r="B70" s="4" t="n">
        <f aca="false">MC346A!A64</f>
        <v>177065</v>
      </c>
      <c r="C70" s="18" t="str">
        <f aca="false">MC346A!B64</f>
        <v>Samuel Felipe Chenatti</v>
      </c>
      <c r="D70" s="19" t="n">
        <f aca="false">MC346A!C64</f>
        <v>42</v>
      </c>
      <c r="E70" s="4" t="str">
        <f aca="false">MC346A!D64</f>
        <v>G</v>
      </c>
      <c r="F70" s="4" t="str">
        <f aca="false">MC346A!F64</f>
        <v>  </v>
      </c>
      <c r="G70" s="20" t="n">
        <f aca="false">'Prova Prolog'!I64</f>
        <v>8.5</v>
      </c>
      <c r="H70" s="20" t="n">
        <f aca="false">'Prova Haskell'!I64</f>
        <v>2.6</v>
      </c>
      <c r="I70" s="20" t="n">
        <f aca="false">'Prova Python'!I64</f>
        <v>7.8</v>
      </c>
      <c r="J70" s="20" t="n">
        <f aca="false">'Desafio Prolog'!O69</f>
        <v>6.31709273947529</v>
      </c>
      <c r="K70" s="20" t="n">
        <f aca="false">'Desafio Haskell'!P69</f>
        <v>6.82254388236473</v>
      </c>
      <c r="L70" s="20" t="n">
        <f aca="false">'Desafio Python'!P69</f>
        <v>9.12892033165105</v>
      </c>
      <c r="M70" s="20" t="n">
        <f aca="false">(2*G70+J70)/3</f>
        <v>7.77236424649176</v>
      </c>
      <c r="N70" s="20" t="n">
        <f aca="false">(2*H70+K70)/3</f>
        <v>4.00751462745491</v>
      </c>
      <c r="O70" s="20" t="n">
        <f aca="false">(2*I70+L70)/3</f>
        <v>8.24297344388368</v>
      </c>
      <c r="P70" s="20" t="n">
        <f aca="false">IF(AND(M70&gt;=4,N70&gt;=4,O70&gt;=4),M70/3+N70/3+O70/3,MIN(M70,N70,O70))</f>
        <v>6.67428410594345</v>
      </c>
      <c r="Q70" s="21"/>
      <c r="R70" s="21" t="n">
        <f aca="false">IF(AND(P70&gt;=5,ISBLANK(Q70)),P70,(P70+Q70)/2)</f>
        <v>6.67428410594345</v>
      </c>
      <c r="S70" s="11"/>
      <c r="T70" s="18" t="str">
        <f aca="false">C70</f>
        <v>Samuel Felipe Chenatti</v>
      </c>
    </row>
    <row r="71" customFormat="false" ht="12.8" hidden="false" customHeight="false" outlineLevel="0" collapsed="false">
      <c r="A71" s="9" t="n">
        <f aca="false">A70+1</f>
        <v>69</v>
      </c>
      <c r="B71" s="4" t="n">
        <f aca="false">MC346A!A65</f>
        <v>177677</v>
      </c>
      <c r="C71" s="18" t="str">
        <f aca="false">MC346A!B65</f>
        <v>Thomas Jun Yamasaki</v>
      </c>
      <c r="D71" s="19" t="n">
        <f aca="false">MC346A!C65</f>
        <v>34</v>
      </c>
      <c r="E71" s="4" t="str">
        <f aca="false">MC346A!D65</f>
        <v>G</v>
      </c>
      <c r="F71" s="4" t="str">
        <f aca="false">MC346A!F65</f>
        <v>AA</v>
      </c>
      <c r="G71" s="20" t="n">
        <f aca="false">'Prova Prolog'!I65</f>
        <v>5</v>
      </c>
      <c r="H71" s="20" t="n">
        <f aca="false">'Prova Haskell'!I65</f>
        <v>5</v>
      </c>
      <c r="I71" s="20" t="n">
        <f aca="false">Exame!I65</f>
        <v>7.6</v>
      </c>
      <c r="J71" s="20" t="n">
        <f aca="false">'Desafio Prolog'!O70</f>
        <v>3.51303942509493</v>
      </c>
      <c r="K71" s="20" t="n">
        <f aca="false">'Desafio Haskell'!P70</f>
        <v>5.34291876848383</v>
      </c>
      <c r="L71" s="20" t="n">
        <f aca="false">'Desafio Python'!P70</f>
        <v>8.163961554797</v>
      </c>
      <c r="M71" s="20" t="n">
        <f aca="false">(2*G71+J71)/3</f>
        <v>4.50434647503164</v>
      </c>
      <c r="N71" s="20" t="n">
        <f aca="false">(2*H71+K71)/3</f>
        <v>5.11430625616128</v>
      </c>
      <c r="O71" s="20" t="n">
        <f aca="false">(2*I71+L71)/3</f>
        <v>7.78798718493233</v>
      </c>
      <c r="P71" s="20" t="n">
        <f aca="false">IF(AND(M71&gt;=4,N71&gt;=4,O71&gt;=4),M71/3+N71/3+O71/3,MIN(M71,N71,O71))</f>
        <v>5.80221330537508</v>
      </c>
      <c r="Q71" s="21"/>
      <c r="R71" s="21" t="n">
        <f aca="false">IF(AND(P71&gt;=5,ISBLANK(Q71)),P71,(P71+Q71)/2)</f>
        <v>5.80221330537508</v>
      </c>
      <c r="S71" s="11"/>
      <c r="T71" s="18" t="str">
        <f aca="false">C71</f>
        <v>Thomas Jun Yamasaki</v>
      </c>
    </row>
    <row r="72" customFormat="false" ht="12.8" hidden="false" customHeight="false" outlineLevel="0" collapsed="false">
      <c r="A72" s="9" t="n">
        <f aca="false">A71+1</f>
        <v>70</v>
      </c>
      <c r="B72" s="4" t="n">
        <f aca="false">MC346A!A66</f>
        <v>178018</v>
      </c>
      <c r="C72" s="18" t="str">
        <f aca="false">MC346A!B66</f>
        <v>Victor Luccas Soares Villas Boas Antunes</v>
      </c>
      <c r="D72" s="19" t="n">
        <f aca="false">MC346A!C66</f>
        <v>42</v>
      </c>
      <c r="E72" s="4" t="str">
        <f aca="false">MC346A!D66</f>
        <v>G</v>
      </c>
      <c r="F72" s="4" t="str">
        <f aca="false">MC346A!F66</f>
        <v>  </v>
      </c>
      <c r="G72" s="20" t="n">
        <f aca="false">'Prova Prolog'!I66</f>
        <v>10</v>
      </c>
      <c r="H72" s="20" t="n">
        <f aca="false">'Prova Haskell'!I66</f>
        <v>6.4</v>
      </c>
      <c r="I72" s="20" t="n">
        <f aca="false">'Prova Python'!I66</f>
        <v>9.3</v>
      </c>
      <c r="J72" s="20" t="n">
        <f aca="false">'Desafio Prolog'!O71</f>
        <v>8.22588856161021</v>
      </c>
      <c r="K72" s="20" t="n">
        <f aca="false">'Desafio Haskell'!P71</f>
        <v>9.54014137576691</v>
      </c>
      <c r="L72" s="20" t="n">
        <f aca="false">'Desafio Python'!P71</f>
        <v>9.31304137597569</v>
      </c>
      <c r="M72" s="20" t="n">
        <f aca="false">(2*G72+J72)/3</f>
        <v>9.40862952053674</v>
      </c>
      <c r="N72" s="20" t="n">
        <f aca="false">(2*H72+K72)/3</f>
        <v>7.4467137919223</v>
      </c>
      <c r="O72" s="20" t="n">
        <f aca="false">(2*I72+L72)/3</f>
        <v>9.30434712532523</v>
      </c>
      <c r="P72" s="20" t="n">
        <f aca="false">IF(AND(M72&gt;=4,N72&gt;=4,O72&gt;=4),M72/3+N72/3+O72/3,MIN(M72,N72,O72))</f>
        <v>8.71989681259476</v>
      </c>
      <c r="Q72" s="21"/>
      <c r="R72" s="21" t="n">
        <f aca="false">IF(AND(P72&gt;=5,ISBLANK(Q72)),P72,(P72+Q72)/2)</f>
        <v>8.71989681259476</v>
      </c>
      <c r="S72" s="11"/>
      <c r="T72" s="18" t="str">
        <f aca="false">C72</f>
        <v>Victor Luccas Soares Villas Boas Antunes</v>
      </c>
    </row>
    <row r="73" customFormat="false" ht="12.8" hidden="false" customHeight="false" outlineLevel="0" collapsed="false">
      <c r="A73" s="9" t="n">
        <f aca="false">A72+1</f>
        <v>71</v>
      </c>
      <c r="B73" s="4" t="n">
        <f aca="false">MC346A!A67</f>
        <v>178183</v>
      </c>
      <c r="C73" s="18" t="str">
        <f aca="false">MC346A!B67</f>
        <v>Vinícius Balbino de Souza</v>
      </c>
      <c r="D73" s="19" t="n">
        <f aca="false">MC346A!C67</f>
        <v>42</v>
      </c>
      <c r="E73" s="4" t="str">
        <f aca="false">MC346A!D67</f>
        <v>G</v>
      </c>
      <c r="F73" s="4" t="str">
        <f aca="false">MC346A!F67</f>
        <v>  </v>
      </c>
      <c r="G73" s="20" t="n">
        <f aca="false">'Prova Prolog'!I67</f>
        <v>6</v>
      </c>
      <c r="H73" s="20" t="n">
        <f aca="false">'Prova Haskell'!I67</f>
        <v>5.5</v>
      </c>
      <c r="I73" s="20" t="n">
        <f aca="false">'Prova Python'!I67</f>
        <v>9</v>
      </c>
      <c r="J73" s="20" t="n">
        <f aca="false">'Desafio Prolog'!O72</f>
        <v>6.11106992596075</v>
      </c>
      <c r="K73" s="20" t="n">
        <f aca="false">'Desafio Haskell'!P72</f>
        <v>9.75152803525568</v>
      </c>
      <c r="L73" s="20" t="n">
        <f aca="false">'Desafio Python'!P72</f>
        <v>9.52996022978347</v>
      </c>
      <c r="M73" s="20" t="n">
        <f aca="false">(2*G73+J73)/3</f>
        <v>6.03702330865358</v>
      </c>
      <c r="N73" s="20" t="n">
        <f aca="false">(2*H73+K73)/3</f>
        <v>6.91717601175189</v>
      </c>
      <c r="O73" s="20" t="n">
        <f aca="false">(2*I73+L73)/3</f>
        <v>9.17665340992783</v>
      </c>
      <c r="P73" s="20" t="n">
        <f aca="false">IF(AND(M73&gt;=4,N73&gt;=4,O73&gt;=4),M73/3+N73/3+O73/3,MIN(M73,N73,O73))</f>
        <v>7.3769509101111</v>
      </c>
      <c r="Q73" s="21"/>
      <c r="R73" s="21" t="n">
        <f aca="false">IF(AND(P73&gt;=5,ISBLANK(Q73)),P73,(P73+Q73)/2)</f>
        <v>7.3769509101111</v>
      </c>
      <c r="S73" s="11"/>
      <c r="T73" s="18" t="str">
        <f aca="false">C73</f>
        <v>Vinícius Balbino de Souza</v>
      </c>
    </row>
    <row r="74" customFormat="false" ht="12.8" hidden="false" customHeight="false" outlineLevel="0" collapsed="false">
      <c r="A74" s="9" t="n">
        <f aca="false">A73+1</f>
        <v>72</v>
      </c>
      <c r="B74" s="4" t="n">
        <f aca="false">MC346A!A68</f>
        <v>951431</v>
      </c>
      <c r="C74" s="18" t="str">
        <f aca="false">MC346A!B68</f>
        <v>Ricardo Dirani</v>
      </c>
      <c r="D74" s="19" t="n">
        <f aca="false">MC346A!C68</f>
        <v>42</v>
      </c>
      <c r="E74" s="4" t="str">
        <f aca="false">MC346A!D68</f>
        <v>G</v>
      </c>
      <c r="F74" s="4" t="str">
        <f aca="false">MC346A!F68</f>
        <v>  </v>
      </c>
      <c r="G74" s="20" t="n">
        <f aca="false">'Prova Prolog'!I68</f>
        <v>0</v>
      </c>
      <c r="H74" s="20" t="n">
        <f aca="false">'Prova Haskell'!I68</f>
        <v>0</v>
      </c>
      <c r="I74" s="20" t="n">
        <f aca="false">'Prova Python'!I68</f>
        <v>0</v>
      </c>
      <c r="J74" s="20" t="n">
        <f aca="false">'Desafio Prolog'!O73</f>
        <v>0</v>
      </c>
      <c r="K74" s="20" t="n">
        <f aca="false">'Desafio Haskell'!P73</f>
        <v>0</v>
      </c>
      <c r="L74" s="20" t="n">
        <f aca="false">'Desafio Python'!P73</f>
        <v>0</v>
      </c>
      <c r="M74" s="20" t="n">
        <f aca="false">(2*G74+J74)/3</f>
        <v>0</v>
      </c>
      <c r="N74" s="20" t="n">
        <f aca="false">(2*H74+K74)/3</f>
        <v>0</v>
      </c>
      <c r="O74" s="20" t="n">
        <f aca="false">(2*I74+L74)/3</f>
        <v>0</v>
      </c>
      <c r="P74" s="20" t="n">
        <f aca="false">IF(AND(M74&gt;=4,N74&gt;=4,O74&gt;=4),M74/3+N74/3+O74/3,MIN(M74,N74,O74))</f>
        <v>0</v>
      </c>
      <c r="Q74" s="21"/>
      <c r="R74" s="21" t="n">
        <f aca="false">IF(AND(P74&gt;=5,ISBLANK(Q74)),P74,(P74+Q74)/2)</f>
        <v>0</v>
      </c>
      <c r="S74" s="11"/>
      <c r="T74" s="18" t="str">
        <f aca="false">C74</f>
        <v>Ricardo Dirani</v>
      </c>
    </row>
    <row r="75" customFormat="false" ht="12.8" hidden="false" customHeight="false" outlineLevel="0" collapsed="false">
      <c r="A75" s="9"/>
      <c r="B75" s="4"/>
      <c r="C75" s="18"/>
      <c r="D75" s="19"/>
      <c r="E75" s="4"/>
      <c r="F75" s="4"/>
      <c r="G75" s="12"/>
      <c r="H75" s="20"/>
      <c r="I75" s="12"/>
      <c r="J75" s="12"/>
      <c r="K75" s="12"/>
      <c r="L75" s="12"/>
      <c r="M75" s="12"/>
      <c r="N75" s="14"/>
      <c r="O75" s="14"/>
      <c r="P75" s="14"/>
      <c r="Q75" s="13"/>
      <c r="R75" s="14"/>
      <c r="S75" s="11"/>
      <c r="T75" s="18"/>
    </row>
  </sheetData>
  <conditionalFormatting sqref="R65:R74 Q9:R22 Q72:Q74 Q24:Q27 Q29:Q36 Q39:Q45 Q47:Q49 Q51:Q56 Q58 Q61:Q63 Q65:Q69 R24:R63">
    <cfRule type="colorScale" priority="2">
      <colorScale>
        <cfvo type="formula" val="&lt;5"/>
        <cfvo type="formula" val="&gt;5"/>
        <color rgb="FFFF0000"/>
        <color rgb="FF0000FF"/>
      </colorScale>
    </cfRule>
  </conditionalFormatting>
  <conditionalFormatting sqref="R65:R74 Q9:R22 Q72:Q74 Q24:Q27 Q29:Q36 Q39:Q45 Q47:Q49 Q51:Q56 Q58 Q61:Q63 Q65:Q69 R24:R63">
    <cfRule type="cellIs" priority="3" operator="lessThan" aboveAverage="0" equalAverage="0" bottom="0" percent="0" rank="0" text="" dxfId="0">
      <formula>5</formula>
    </cfRule>
    <cfRule type="cellIs" priority="4" operator="greaterThanOrEqual" aboveAverage="0" equalAverage="0" bottom="0" percent="0" rank="0" text="" dxfId="1">
      <formula>5</formula>
    </cfRule>
  </conditionalFormatting>
  <conditionalFormatting sqref="Q70">
    <cfRule type="colorScale" priority="5">
      <colorScale>
        <cfvo type="formula" val="&lt;5"/>
        <cfvo type="formula" val="&gt;5"/>
        <color rgb="FFFF0000"/>
        <color rgb="FF0000FF"/>
      </colorScale>
    </cfRule>
  </conditionalFormatting>
  <conditionalFormatting sqref="Q70">
    <cfRule type="cellIs" priority="6" operator="lessThan" aboveAverage="0" equalAverage="0" bottom="0" percent="0" rank="0" text="" dxfId="0">
      <formula>5</formula>
    </cfRule>
    <cfRule type="cellIs" priority="7" operator="greaterThanOrEqual" aboveAverage="0" equalAverage="0" bottom="0" percent="0" rank="0" text="" dxfId="1">
      <formula>5</formula>
    </cfRule>
  </conditionalFormatting>
  <conditionalFormatting sqref="Q23">
    <cfRule type="colorScale" priority="8">
      <colorScale>
        <cfvo type="formula" val="&lt;5"/>
        <cfvo type="formula" val="&gt;5"/>
        <color rgb="FFFF0000"/>
        <color rgb="FF0000FF"/>
      </colorScale>
    </cfRule>
  </conditionalFormatting>
  <conditionalFormatting sqref="Q23">
    <cfRule type="cellIs" priority="9" operator="lessThan" aboveAverage="0" equalAverage="0" bottom="0" percent="0" rank="0" text="" dxfId="0">
      <formula>5</formula>
    </cfRule>
    <cfRule type="cellIs" priority="10" operator="greaterThanOrEqual" aboveAverage="0" equalAverage="0" bottom="0" percent="0" rank="0" text="" dxfId="1">
      <formula>5</formula>
    </cfRule>
  </conditionalFormatting>
  <conditionalFormatting sqref="Q28">
    <cfRule type="colorScale" priority="11">
      <colorScale>
        <cfvo type="formula" val="&lt;5"/>
        <cfvo type="formula" val="&gt;5"/>
        <color rgb="FFFF0000"/>
        <color rgb="FF0000FF"/>
      </colorScale>
    </cfRule>
  </conditionalFormatting>
  <conditionalFormatting sqref="Q28">
    <cfRule type="cellIs" priority="12" operator="lessThan" aboveAverage="0" equalAverage="0" bottom="0" percent="0" rank="0" text="" dxfId="0">
      <formula>5</formula>
    </cfRule>
    <cfRule type="cellIs" priority="13" operator="greaterThanOrEqual" aboveAverage="0" equalAverage="0" bottom="0" percent="0" rank="0" text="" dxfId="1">
      <formula>5</formula>
    </cfRule>
  </conditionalFormatting>
  <conditionalFormatting sqref="Q37">
    <cfRule type="colorScale" priority="14">
      <colorScale>
        <cfvo type="formula" val="&lt;5"/>
        <cfvo type="formula" val="&gt;5"/>
        <color rgb="FFFF0000"/>
        <color rgb="FF0000FF"/>
      </colorScale>
    </cfRule>
  </conditionalFormatting>
  <conditionalFormatting sqref="Q37">
    <cfRule type="cellIs" priority="15" operator="lessThan" aboveAverage="0" equalAverage="0" bottom="0" percent="0" rank="0" text="" dxfId="0">
      <formula>5</formula>
    </cfRule>
    <cfRule type="cellIs" priority="16" operator="greaterThanOrEqual" aboveAverage="0" equalAverage="0" bottom="0" percent="0" rank="0" text="" dxfId="1">
      <formula>5</formula>
    </cfRule>
  </conditionalFormatting>
  <conditionalFormatting sqref="Q38">
    <cfRule type="colorScale" priority="17">
      <colorScale>
        <cfvo type="formula" val="&lt;5"/>
        <cfvo type="formula" val="&gt;5"/>
        <color rgb="FFFF0000"/>
        <color rgb="FF0000FF"/>
      </colorScale>
    </cfRule>
  </conditionalFormatting>
  <conditionalFormatting sqref="Q38">
    <cfRule type="cellIs" priority="18" operator="lessThan" aboveAverage="0" equalAverage="0" bottom="0" percent="0" rank="0" text="" dxfId="0">
      <formula>5</formula>
    </cfRule>
    <cfRule type="cellIs" priority="19" operator="greaterThanOrEqual" aboveAverage="0" equalAverage="0" bottom="0" percent="0" rank="0" text="" dxfId="1">
      <formula>5</formula>
    </cfRule>
  </conditionalFormatting>
  <conditionalFormatting sqref="Q46">
    <cfRule type="colorScale" priority="20">
      <colorScale>
        <cfvo type="formula" val="&lt;5"/>
        <cfvo type="formula" val="&gt;5"/>
        <color rgb="FFFF0000"/>
        <color rgb="FF0000FF"/>
      </colorScale>
    </cfRule>
  </conditionalFormatting>
  <conditionalFormatting sqref="Q46">
    <cfRule type="cellIs" priority="21" operator="lessThan" aboveAverage="0" equalAverage="0" bottom="0" percent="0" rank="0" text="" dxfId="0">
      <formula>5</formula>
    </cfRule>
    <cfRule type="cellIs" priority="22" operator="greaterThanOrEqual" aboveAverage="0" equalAverage="0" bottom="0" percent="0" rank="0" text="" dxfId="1">
      <formula>5</formula>
    </cfRule>
  </conditionalFormatting>
  <conditionalFormatting sqref="Q50">
    <cfRule type="colorScale" priority="23">
      <colorScale>
        <cfvo type="formula" val="&lt;5"/>
        <cfvo type="formula" val="&gt;5"/>
        <color rgb="FFFF0000"/>
        <color rgb="FF0000FF"/>
      </colorScale>
    </cfRule>
  </conditionalFormatting>
  <conditionalFormatting sqref="Q50">
    <cfRule type="cellIs" priority="24" operator="lessThan" aboveAverage="0" equalAverage="0" bottom="0" percent="0" rank="0" text="" dxfId="0">
      <formula>5</formula>
    </cfRule>
    <cfRule type="cellIs" priority="25" operator="greaterThanOrEqual" aboveAverage="0" equalAverage="0" bottom="0" percent="0" rank="0" text="" dxfId="1">
      <formula>5</formula>
    </cfRule>
  </conditionalFormatting>
  <conditionalFormatting sqref="Q57">
    <cfRule type="colorScale" priority="26">
      <colorScale>
        <cfvo type="formula" val="&lt;5"/>
        <cfvo type="formula" val="&gt;5"/>
        <color rgb="FFFF0000"/>
        <color rgb="FF0000FF"/>
      </colorScale>
    </cfRule>
  </conditionalFormatting>
  <conditionalFormatting sqref="Q57">
    <cfRule type="cellIs" priority="27" operator="lessThan" aboveAverage="0" equalAverage="0" bottom="0" percent="0" rank="0" text="" dxfId="0">
      <formula>5</formula>
    </cfRule>
    <cfRule type="cellIs" priority="28" operator="greaterThanOrEqual" aboveAverage="0" equalAverage="0" bottom="0" percent="0" rank="0" text="" dxfId="1">
      <formula>5</formula>
    </cfRule>
  </conditionalFormatting>
  <conditionalFormatting sqref="Q59">
    <cfRule type="colorScale" priority="29">
      <colorScale>
        <cfvo type="formula" val="&lt;5"/>
        <cfvo type="formula" val="&gt;5"/>
        <color rgb="FFFF0000"/>
        <color rgb="FF0000FF"/>
      </colorScale>
    </cfRule>
  </conditionalFormatting>
  <conditionalFormatting sqref="Q59">
    <cfRule type="cellIs" priority="30" operator="lessThan" aboveAverage="0" equalAverage="0" bottom="0" percent="0" rank="0" text="" dxfId="0">
      <formula>5</formula>
    </cfRule>
    <cfRule type="cellIs" priority="31" operator="greaterThanOrEqual" aboveAverage="0" equalAverage="0" bottom="0" percent="0" rank="0" text="" dxfId="1">
      <formula>5</formula>
    </cfRule>
  </conditionalFormatting>
  <conditionalFormatting sqref="Q60">
    <cfRule type="colorScale" priority="32">
      <colorScale>
        <cfvo type="formula" val="&lt;5"/>
        <cfvo type="formula" val="&gt;5"/>
        <color rgb="FFFF0000"/>
        <color rgb="FF0000FF"/>
      </colorScale>
    </cfRule>
  </conditionalFormatting>
  <conditionalFormatting sqref="Q60">
    <cfRule type="cellIs" priority="33" operator="lessThan" aboveAverage="0" equalAverage="0" bottom="0" percent="0" rank="0" text="" dxfId="0">
      <formula>5</formula>
    </cfRule>
    <cfRule type="cellIs" priority="34" operator="greaterThanOrEqual" aboveAverage="0" equalAverage="0" bottom="0" percent="0" rank="0" text="" dxfId="1">
      <formula>5</formula>
    </cfRule>
  </conditionalFormatting>
  <conditionalFormatting sqref="Q64">
    <cfRule type="colorScale" priority="35">
      <colorScale>
        <cfvo type="formula" val="&lt;5"/>
        <cfvo type="formula" val="&gt;5"/>
        <color rgb="FFFF0000"/>
        <color rgb="FF0000FF"/>
      </colorScale>
    </cfRule>
  </conditionalFormatting>
  <conditionalFormatting sqref="Q64">
    <cfRule type="cellIs" priority="36" operator="lessThan" aboveAverage="0" equalAverage="0" bottom="0" percent="0" rank="0" text="" dxfId="0">
      <formula>5</formula>
    </cfRule>
    <cfRule type="cellIs" priority="37" operator="greaterThanOrEqual" aboveAverage="0" equalAverage="0" bottom="0" percent="0" rank="0" text="" dxfId="1">
      <formula>5</formula>
    </cfRule>
  </conditionalFormatting>
  <conditionalFormatting sqref="Q71">
    <cfRule type="colorScale" priority="38">
      <colorScale>
        <cfvo type="formula" val="&lt;5"/>
        <cfvo type="formula" val="&gt;5"/>
        <color rgb="FFFF0000"/>
        <color rgb="FF0000FF"/>
      </colorScale>
    </cfRule>
  </conditionalFormatting>
  <conditionalFormatting sqref="Q71">
    <cfRule type="cellIs" priority="39" operator="lessThan" aboveAverage="0" equalAverage="0" bottom="0" percent="0" rank="0" text="" dxfId="0">
      <formula>5</formula>
    </cfRule>
    <cfRule type="cellIs" priority="40" operator="greaterThanOrEqual" aboveAverage="0" equalAverage="0" bottom="0" percent="0" rank="0" text="" dxfId="1">
      <formula>5</formula>
    </cfRule>
  </conditionalFormatting>
  <conditionalFormatting sqref="R23">
    <cfRule type="colorScale" priority="41">
      <colorScale>
        <cfvo type="formula" val="&lt;5"/>
        <cfvo type="formula" val="&gt;5"/>
        <color rgb="FFFF0000"/>
        <color rgb="FF0000FF"/>
      </colorScale>
    </cfRule>
  </conditionalFormatting>
  <conditionalFormatting sqref="R23">
    <cfRule type="cellIs" priority="42" operator="lessThan" aboveAverage="0" equalAverage="0" bottom="0" percent="0" rank="0" text="" dxfId="0">
      <formula>5</formula>
    </cfRule>
    <cfRule type="cellIs" priority="43" operator="greaterThanOrEqual" aboveAverage="0" equalAverage="0" bottom="0" percent="0" rank="0" text="" dxfId="1">
      <formula>5</formula>
    </cfRule>
  </conditionalFormatting>
  <conditionalFormatting sqref="R64">
    <cfRule type="colorScale" priority="44">
      <colorScale>
        <cfvo type="formula" val="&lt;5"/>
        <cfvo type="formula" val="&gt;5"/>
        <color rgb="FFFF0000"/>
        <color rgb="FF0000FF"/>
      </colorScale>
    </cfRule>
  </conditionalFormatting>
  <conditionalFormatting sqref="R64">
    <cfRule type="cellIs" priority="45" operator="lessThan" aboveAverage="0" equalAverage="0" bottom="0" percent="0" rank="0" text="" dxfId="0">
      <formula>5</formula>
    </cfRule>
    <cfRule type="cellIs" priority="46" operator="greaterThanOrEqual" aboveAverage="0" equalAverage="0" bottom="0" percent="0" rank="0" text="" dxfId="1">
      <formula>5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3"/>
  <sheetViews>
    <sheetView showFormulas="false" showGridLines="true" showRowColHeaders="true" showZeros="true" rightToLeft="false" tabSelected="false" showOutlineSymbols="true" defaultGridColor="true" view="normal" topLeftCell="C55" colorId="64" zoomScale="110" zoomScaleNormal="110" zoomScalePageLayoutView="100" workbookViewId="0">
      <selection pane="topLeft" activeCell="L7" activeCellId="0" sqref="L7"/>
    </sheetView>
  </sheetViews>
  <sheetFormatPr defaultRowHeight="12.8" zeroHeight="false" outlineLevelRow="0" outlineLevelCol="0"/>
  <cols>
    <col collapsed="false" customWidth="true" hidden="false" outlineLevel="0" max="1" min="1" style="0" width="6.81"/>
    <col collapsed="false" customWidth="true" hidden="false" outlineLevel="0" max="2" min="2" style="0" width="32.46"/>
    <col collapsed="false" customWidth="true" hidden="false" outlineLevel="0" max="3" min="3" style="24" width="4.29"/>
    <col collapsed="false" customWidth="true" hidden="false" outlineLevel="0" max="4" min="4" style="24" width="4.42"/>
    <col collapsed="false" customWidth="false" hidden="false" outlineLevel="0" max="9" min="5" style="24" width="11.52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A1" s="25"/>
      <c r="B1" s="25" t="s">
        <v>2</v>
      </c>
      <c r="C1" s="25"/>
      <c r="D1" s="25"/>
    </row>
    <row r="2" s="26" customFormat="true" ht="12.8" hidden="false" customHeight="false" outlineLevel="0" collapsed="false">
      <c r="A2" s="25" t="s">
        <v>16</v>
      </c>
      <c r="B2" s="25" t="s">
        <v>17</v>
      </c>
      <c r="C2" s="25" t="s">
        <v>37</v>
      </c>
      <c r="D2" s="25" t="s">
        <v>38</v>
      </c>
      <c r="E2" s="25" t="s">
        <v>39</v>
      </c>
      <c r="F2" s="25" t="s">
        <v>40</v>
      </c>
      <c r="G2" s="25" t="s">
        <v>41</v>
      </c>
      <c r="H2" s="25" t="s">
        <v>42</v>
      </c>
      <c r="I2" s="25" t="s">
        <v>43</v>
      </c>
      <c r="AMJ2" s="0"/>
    </row>
    <row r="3" customFormat="false" ht="12.8" hidden="false" customHeight="false" outlineLevel="0" collapsed="false">
      <c r="A3" s="27" t="n">
        <f aca="false">MC346A!A3</f>
        <v>101487</v>
      </c>
      <c r="B3" s="27" t="str">
        <f aca="false">MC346A!B3</f>
        <v>André Guaraldo</v>
      </c>
      <c r="C3" s="28" t="n">
        <f aca="false">MC346A!C3</f>
        <v>42</v>
      </c>
      <c r="D3" s="28" t="str">
        <f aca="false">MC346A!D3</f>
        <v>G</v>
      </c>
      <c r="E3" s="20"/>
      <c r="F3" s="20"/>
      <c r="G3" s="20"/>
      <c r="H3" s="20"/>
      <c r="I3" s="20"/>
    </row>
    <row r="4" customFormat="false" ht="12.8" hidden="false" customHeight="false" outlineLevel="0" collapsed="false">
      <c r="A4" s="27" t="n">
        <f aca="false">MC346A!A4</f>
        <v>116134</v>
      </c>
      <c r="B4" s="27" t="str">
        <f aca="false">MC346A!B4</f>
        <v>André Seiji Tamanaha</v>
      </c>
      <c r="C4" s="28" t="n">
        <f aca="false">MC346A!C4</f>
        <v>34</v>
      </c>
      <c r="D4" s="28" t="str">
        <f aca="false">MC346A!D4</f>
        <v>G</v>
      </c>
      <c r="E4" s="20" t="n">
        <v>0.5</v>
      </c>
      <c r="F4" s="20" t="n">
        <v>0.5</v>
      </c>
      <c r="G4" s="20" t="n">
        <v>0</v>
      </c>
      <c r="H4" s="20" t="n">
        <v>1</v>
      </c>
      <c r="I4" s="20" t="n">
        <f aca="false">SUM(E4:H4)</f>
        <v>2</v>
      </c>
    </row>
    <row r="5" customFormat="false" ht="12.8" hidden="false" customHeight="false" outlineLevel="0" collapsed="false">
      <c r="A5" s="27" t="n">
        <f aca="false">MC346A!A5</f>
        <v>117079</v>
      </c>
      <c r="B5" s="27" t="str">
        <f aca="false">MC346A!B5</f>
        <v>Guilherme Bighetti Platzeck</v>
      </c>
      <c r="C5" s="28" t="n">
        <f aca="false">MC346A!C5</f>
        <v>42</v>
      </c>
      <c r="D5" s="28" t="str">
        <f aca="false">MC346A!D5</f>
        <v>G</v>
      </c>
      <c r="E5" s="20" t="n">
        <v>2.5</v>
      </c>
      <c r="F5" s="20" t="n">
        <v>2.5</v>
      </c>
      <c r="G5" s="20" t="n">
        <v>2.5</v>
      </c>
      <c r="H5" s="20" t="n">
        <v>1.5</v>
      </c>
      <c r="I5" s="20" t="n">
        <f aca="false">SUM(E5:H5)</f>
        <v>9</v>
      </c>
    </row>
    <row r="6" customFormat="false" ht="12.8" hidden="false" customHeight="false" outlineLevel="0" collapsed="false">
      <c r="A6" s="27" t="n">
        <f aca="false">MC346A!A6</f>
        <v>118363</v>
      </c>
      <c r="B6" s="27" t="str">
        <f aca="false">MC346A!B6</f>
        <v>Pedro Gabriel Calixto Mendonça</v>
      </c>
      <c r="C6" s="28" t="n">
        <f aca="false">MC346A!C6</f>
        <v>34</v>
      </c>
      <c r="D6" s="28" t="str">
        <f aca="false">MC346A!D6</f>
        <v>G</v>
      </c>
      <c r="E6" s="20" t="n">
        <v>2.5</v>
      </c>
      <c r="F6" s="20" t="n">
        <v>2.5</v>
      </c>
      <c r="G6" s="20" t="n">
        <v>2</v>
      </c>
      <c r="H6" s="20" t="n">
        <v>2.5</v>
      </c>
      <c r="I6" s="20" t="n">
        <f aca="false">SUM(E6:H6)</f>
        <v>9.5</v>
      </c>
    </row>
    <row r="7" customFormat="false" ht="12.8" hidden="false" customHeight="false" outlineLevel="0" collapsed="false">
      <c r="A7" s="27" t="n">
        <f aca="false">MC346A!A7</f>
        <v>118827</v>
      </c>
      <c r="B7" s="27" t="str">
        <f aca="false">MC346A!B7</f>
        <v>Tiago Lobato Gimenes</v>
      </c>
      <c r="C7" s="28" t="n">
        <f aca="false">MC346A!C7</f>
        <v>34</v>
      </c>
      <c r="D7" s="28" t="str">
        <f aca="false">MC346A!D7</f>
        <v>G</v>
      </c>
      <c r="E7" s="20" t="n">
        <v>2.5</v>
      </c>
      <c r="F7" s="20" t="n">
        <v>2.5</v>
      </c>
      <c r="G7" s="20" t="n">
        <v>2.5</v>
      </c>
      <c r="H7" s="20" t="n">
        <v>2.5</v>
      </c>
      <c r="I7" s="20" t="n">
        <f aca="false">SUM(E7:H7)</f>
        <v>10</v>
      </c>
    </row>
    <row r="8" customFormat="false" ht="12.8" hidden="false" customHeight="false" outlineLevel="0" collapsed="false">
      <c r="A8" s="27" t="n">
        <f aca="false">MC346A!A8</f>
        <v>119494</v>
      </c>
      <c r="B8" s="27" t="str">
        <f aca="false">MC346A!B8</f>
        <v>Guilherme Costa Zanelato</v>
      </c>
      <c r="C8" s="28" t="n">
        <f aca="false">MC346A!C8</f>
        <v>34</v>
      </c>
      <c r="D8" s="28" t="str">
        <f aca="false">MC346A!D8</f>
        <v>G</v>
      </c>
      <c r="E8" s="20" t="n">
        <v>1</v>
      </c>
      <c r="F8" s="20" t="n">
        <v>0.5</v>
      </c>
      <c r="G8" s="20" t="n">
        <v>0.5</v>
      </c>
      <c r="H8" s="20" t="n">
        <v>0</v>
      </c>
      <c r="I8" s="20" t="n">
        <f aca="false">SUM(E8:H8)</f>
        <v>2</v>
      </c>
    </row>
    <row r="9" customFormat="false" ht="12.8" hidden="false" customHeight="false" outlineLevel="0" collapsed="false">
      <c r="A9" s="27" t="n">
        <f aca="false">MC346A!A9</f>
        <v>119637</v>
      </c>
      <c r="B9" s="27" t="str">
        <f aca="false">MC346A!B9</f>
        <v>João Víctor Chencci Marques</v>
      </c>
      <c r="C9" s="28" t="n">
        <f aca="false">MC346A!C9</f>
        <v>42</v>
      </c>
      <c r="D9" s="28" t="str">
        <f aca="false">MC346A!D9</f>
        <v>G</v>
      </c>
      <c r="E9" s="20" t="n">
        <v>0.5</v>
      </c>
      <c r="F9" s="20" t="n">
        <v>0.5</v>
      </c>
      <c r="G9" s="20" t="n">
        <v>0.5</v>
      </c>
      <c r="H9" s="20" t="n">
        <v>0</v>
      </c>
      <c r="I9" s="20" t="n">
        <f aca="false">SUM(E9:H9)</f>
        <v>1.5</v>
      </c>
    </row>
    <row r="10" customFormat="false" ht="12.8" hidden="false" customHeight="false" outlineLevel="0" collapsed="false">
      <c r="A10" s="27" t="n">
        <f aca="false">MC346A!A10</f>
        <v>135680</v>
      </c>
      <c r="B10" s="27" t="str">
        <f aca="false">MC346A!B10</f>
        <v>Fellipe Santiago Scarpa Caetano</v>
      </c>
      <c r="C10" s="28" t="n">
        <f aca="false">MC346A!C10</f>
        <v>42</v>
      </c>
      <c r="D10" s="28" t="str">
        <f aca="false">MC346A!D10</f>
        <v>G</v>
      </c>
      <c r="E10" s="20" t="n">
        <v>2.5</v>
      </c>
      <c r="F10" s="20" t="n">
        <v>1.5</v>
      </c>
      <c r="G10" s="20" t="n">
        <v>0.5</v>
      </c>
      <c r="H10" s="20" t="n">
        <v>2.3</v>
      </c>
      <c r="I10" s="20" t="n">
        <f aca="false">SUM(E10:H10)</f>
        <v>6.8</v>
      </c>
    </row>
    <row r="11" customFormat="false" ht="12.8" hidden="false" customHeight="false" outlineLevel="0" collapsed="false">
      <c r="A11" s="27" t="n">
        <f aca="false">MC346A!A11</f>
        <v>135986</v>
      </c>
      <c r="B11" s="27" t="str">
        <f aca="false">MC346A!B11</f>
        <v>Guilherme Santos Pereira</v>
      </c>
      <c r="C11" s="28" t="n">
        <f aca="false">MC346A!C11</f>
        <v>42</v>
      </c>
      <c r="D11" s="28" t="str">
        <f aca="false">MC346A!D11</f>
        <v>G</v>
      </c>
      <c r="E11" s="20" t="n">
        <v>0</v>
      </c>
      <c r="F11" s="20" t="n">
        <v>1</v>
      </c>
      <c r="G11" s="20" t="n">
        <v>0</v>
      </c>
      <c r="H11" s="20" t="n">
        <v>0.5</v>
      </c>
      <c r="I11" s="20" t="n">
        <f aca="false">SUM(E11:H11)</f>
        <v>1.5</v>
      </c>
    </row>
    <row r="12" customFormat="false" ht="12.8" hidden="false" customHeight="false" outlineLevel="0" collapsed="false">
      <c r="A12" s="27" t="n">
        <f aca="false">MC346A!A12</f>
        <v>136454</v>
      </c>
      <c r="B12" s="27" t="str">
        <f aca="false">MC346A!B12</f>
        <v>Larissa Dominique Garcia</v>
      </c>
      <c r="C12" s="28" t="n">
        <f aca="false">MC346A!C12</f>
        <v>42</v>
      </c>
      <c r="D12" s="28" t="str">
        <f aca="false">MC346A!D12</f>
        <v>G</v>
      </c>
      <c r="E12" s="20" t="n">
        <v>0</v>
      </c>
      <c r="F12" s="20" t="n">
        <v>0.5</v>
      </c>
      <c r="G12" s="20" t="n">
        <v>0.5</v>
      </c>
      <c r="H12" s="20" t="n">
        <v>0</v>
      </c>
      <c r="I12" s="20" t="n">
        <f aca="false">SUM(E12:H12)</f>
        <v>1</v>
      </c>
    </row>
    <row r="13" customFormat="false" ht="12.8" hidden="false" customHeight="false" outlineLevel="0" collapsed="false">
      <c r="A13" s="27" t="n">
        <f aca="false">MC346A!A13</f>
        <v>137733</v>
      </c>
      <c r="B13" s="27" t="str">
        <f aca="false">MC346A!B13</f>
        <v>Tiago Bento Fernandes</v>
      </c>
      <c r="C13" s="28" t="n">
        <f aca="false">MC346A!C13</f>
        <v>42</v>
      </c>
      <c r="D13" s="28" t="str">
        <f aca="false">MC346A!D13</f>
        <v>G</v>
      </c>
      <c r="E13" s="20" t="n">
        <v>1.5</v>
      </c>
      <c r="F13" s="20" t="n">
        <v>2</v>
      </c>
      <c r="G13" s="20" t="n">
        <v>2.5</v>
      </c>
      <c r="H13" s="20" t="n">
        <v>1.5</v>
      </c>
      <c r="I13" s="20" t="n">
        <f aca="false">SUM(E13:H13)</f>
        <v>7.5</v>
      </c>
    </row>
    <row r="14" customFormat="false" ht="12.8" hidden="false" customHeight="false" outlineLevel="0" collapsed="false">
      <c r="A14" s="27" t="n">
        <f aca="false">MC346A!A14</f>
        <v>138745</v>
      </c>
      <c r="B14" s="27" t="str">
        <f aca="false">MC346A!B14</f>
        <v>Lucas Piscello Cosme</v>
      </c>
      <c r="C14" s="28" t="n">
        <f aca="false">MC346A!C14</f>
        <v>42</v>
      </c>
      <c r="D14" s="28" t="str">
        <f aca="false">MC346A!D14</f>
        <v>G</v>
      </c>
      <c r="E14" s="20" t="n">
        <v>2.5</v>
      </c>
      <c r="F14" s="20" t="n">
        <v>2</v>
      </c>
      <c r="G14" s="20" t="n">
        <v>2.5</v>
      </c>
      <c r="H14" s="20" t="n">
        <v>2</v>
      </c>
      <c r="I14" s="20" t="n">
        <f aca="false">SUM(E14:H14)</f>
        <v>9</v>
      </c>
    </row>
    <row r="15" customFormat="false" ht="12.8" hidden="false" customHeight="false" outlineLevel="0" collapsed="false">
      <c r="A15" s="27" t="n">
        <f aca="false">MC346A!A15</f>
        <v>138771</v>
      </c>
      <c r="B15" s="27" t="str">
        <f aca="false">MC346A!B15</f>
        <v>Luiz Antonio Andia</v>
      </c>
      <c r="C15" s="28" t="n">
        <f aca="false">MC346A!C15</f>
        <v>42</v>
      </c>
      <c r="D15" s="28" t="str">
        <f aca="false">MC346A!D15</f>
        <v>G</v>
      </c>
      <c r="E15" s="20" t="n">
        <v>0.7</v>
      </c>
      <c r="F15" s="20" t="n">
        <v>0.5</v>
      </c>
      <c r="G15" s="20" t="n">
        <v>0.5</v>
      </c>
      <c r="H15" s="20" t="n">
        <v>2.4</v>
      </c>
      <c r="I15" s="20" t="n">
        <f aca="false">SUM(E15:H15)</f>
        <v>4.1</v>
      </c>
    </row>
    <row r="16" customFormat="false" ht="12.8" hidden="false" customHeight="false" outlineLevel="0" collapsed="false">
      <c r="A16" s="27" t="n">
        <f aca="false">MC346A!A16</f>
        <v>145510</v>
      </c>
      <c r="B16" s="27" t="str">
        <f aca="false">MC346A!B16</f>
        <v>Bruno Eiji Okano Yoshida</v>
      </c>
      <c r="C16" s="28" t="n">
        <f aca="false">MC346A!C16</f>
        <v>49</v>
      </c>
      <c r="D16" s="28" t="str">
        <f aca="false">MC346A!D16</f>
        <v>G</v>
      </c>
      <c r="E16" s="20" t="n">
        <v>0</v>
      </c>
      <c r="F16" s="20" t="n">
        <v>2</v>
      </c>
      <c r="G16" s="20" t="n">
        <v>0</v>
      </c>
      <c r="H16" s="20" t="n">
        <v>0.5</v>
      </c>
      <c r="I16" s="20" t="n">
        <f aca="false">SUM(E16:H16)</f>
        <v>2.5</v>
      </c>
    </row>
    <row r="17" customFormat="false" ht="12.8" hidden="false" customHeight="false" outlineLevel="0" collapsed="false">
      <c r="A17" s="27" t="n">
        <f aca="false">MC346A!A17</f>
        <v>145552</v>
      </c>
      <c r="B17" s="27" t="str">
        <f aca="false">MC346A!B17</f>
        <v>Caio Cerruti Gonçalves</v>
      </c>
      <c r="C17" s="28" t="n">
        <f aca="false">MC346A!C17</f>
        <v>42</v>
      </c>
      <c r="D17" s="28" t="str">
        <f aca="false">MC346A!D17</f>
        <v>G</v>
      </c>
      <c r="E17" s="20" t="n">
        <v>0.5</v>
      </c>
      <c r="F17" s="20" t="n">
        <v>1.5</v>
      </c>
      <c r="G17" s="20" t="n">
        <v>1</v>
      </c>
      <c r="H17" s="20" t="n">
        <v>0</v>
      </c>
      <c r="I17" s="20" t="n">
        <f aca="false">SUM(E17:H17)</f>
        <v>3</v>
      </c>
    </row>
    <row r="18" customFormat="false" ht="12.8" hidden="false" customHeight="false" outlineLevel="0" collapsed="false">
      <c r="A18" s="27" t="n">
        <f aca="false">MC346A!A18</f>
        <v>145763</v>
      </c>
      <c r="B18" s="27" t="str">
        <f aca="false">MC346A!B18</f>
        <v>Daniel dos Santos Pedroso</v>
      </c>
      <c r="C18" s="28" t="n">
        <f aca="false">MC346A!C18</f>
        <v>49</v>
      </c>
      <c r="D18" s="28" t="str">
        <f aca="false">MC346A!D18</f>
        <v>G</v>
      </c>
      <c r="E18" s="20" t="n">
        <v>0.5</v>
      </c>
      <c r="F18" s="20" t="n">
        <v>0.5</v>
      </c>
      <c r="G18" s="20" t="n">
        <v>0</v>
      </c>
      <c r="H18" s="20" t="n">
        <v>0</v>
      </c>
      <c r="I18" s="20" t="n">
        <f aca="false">SUM(E18:H18)</f>
        <v>1</v>
      </c>
    </row>
    <row r="19" customFormat="false" ht="12.8" hidden="false" customHeight="false" outlineLevel="0" collapsed="false">
      <c r="A19" s="27" t="n">
        <f aca="false">MC346A!A19</f>
        <v>146040</v>
      </c>
      <c r="B19" s="27" t="str">
        <f aca="false">MC346A!B19</f>
        <v>Felipe Soares Pires de Carvalho</v>
      </c>
      <c r="C19" s="28" t="n">
        <f aca="false">MC346A!C19</f>
        <v>42</v>
      </c>
      <c r="D19" s="28" t="str">
        <f aca="false">MC346A!D19</f>
        <v>G</v>
      </c>
      <c r="E19" s="20" t="n">
        <v>0.7</v>
      </c>
      <c r="F19" s="20" t="n">
        <v>2.5</v>
      </c>
      <c r="G19" s="20" t="n">
        <v>1</v>
      </c>
      <c r="H19" s="20" t="n">
        <v>1.5</v>
      </c>
      <c r="I19" s="20" t="n">
        <f aca="false">SUM(E19:H19)</f>
        <v>5.7</v>
      </c>
    </row>
    <row r="20" customFormat="false" ht="12.8" hidden="false" customHeight="false" outlineLevel="0" collapsed="false">
      <c r="A20" s="27" t="n">
        <f aca="false">MC346A!A20</f>
        <v>146098</v>
      </c>
      <c r="B20" s="27" t="str">
        <f aca="false">MC346A!B20</f>
        <v>Flavio Matheus Muniz Ribeiro da Silva</v>
      </c>
      <c r="C20" s="28" t="n">
        <f aca="false">MC346A!C20</f>
        <v>34</v>
      </c>
      <c r="D20" s="28" t="str">
        <f aca="false">MC346A!D20</f>
        <v>G</v>
      </c>
      <c r="E20" s="20" t="n">
        <v>2.5</v>
      </c>
      <c r="F20" s="20" t="n">
        <v>2.5</v>
      </c>
      <c r="G20" s="20" t="n">
        <v>1</v>
      </c>
      <c r="H20" s="20" t="n">
        <v>2.5</v>
      </c>
      <c r="I20" s="20" t="n">
        <f aca="false">SUM(E20:H20)</f>
        <v>8.5</v>
      </c>
    </row>
    <row r="21" customFormat="false" ht="12.8" hidden="false" customHeight="false" outlineLevel="0" collapsed="false">
      <c r="A21" s="27" t="n">
        <f aca="false">MC346A!A21</f>
        <v>146310</v>
      </c>
      <c r="B21" s="27" t="str">
        <f aca="false">MC346A!B21</f>
        <v>Guilherme Pereira Gribeler</v>
      </c>
      <c r="C21" s="28" t="n">
        <f aca="false">MC346A!C21</f>
        <v>34</v>
      </c>
      <c r="D21" s="28" t="str">
        <f aca="false">MC346A!D21</f>
        <v>G</v>
      </c>
      <c r="E21" s="20" t="n">
        <v>0.5</v>
      </c>
      <c r="F21" s="20" t="n">
        <v>1.5</v>
      </c>
      <c r="G21" s="20" t="n">
        <v>2.5</v>
      </c>
      <c r="H21" s="20" t="n">
        <v>2.5</v>
      </c>
      <c r="I21" s="20" t="n">
        <f aca="false">SUM(E21:H21)</f>
        <v>7</v>
      </c>
    </row>
    <row r="22" customFormat="false" ht="12.8" hidden="false" customHeight="false" outlineLevel="0" collapsed="false">
      <c r="A22" s="27" t="n">
        <f aca="false">MC346A!A22</f>
        <v>146318</v>
      </c>
      <c r="B22" s="27" t="str">
        <f aca="false">MC346A!B22</f>
        <v>Guilherme Rodrigues Bueno</v>
      </c>
      <c r="C22" s="28" t="n">
        <f aca="false">MC346A!C22</f>
        <v>42</v>
      </c>
      <c r="D22" s="28" t="str">
        <f aca="false">MC346A!D22</f>
        <v>G</v>
      </c>
      <c r="E22" s="20" t="n">
        <v>1.5</v>
      </c>
      <c r="F22" s="20" t="n">
        <v>1.5</v>
      </c>
      <c r="G22" s="20" t="n">
        <v>0</v>
      </c>
      <c r="H22" s="20" t="n">
        <v>1</v>
      </c>
      <c r="I22" s="20" t="n">
        <f aca="false">SUM(E22:H22)</f>
        <v>4</v>
      </c>
    </row>
    <row r="23" customFormat="false" ht="12.8" hidden="false" customHeight="false" outlineLevel="0" collapsed="false">
      <c r="A23" s="27" t="n">
        <f aca="false">MC346A!A23</f>
        <v>146383</v>
      </c>
      <c r="B23" s="27" t="str">
        <f aca="false">MC346A!B23</f>
        <v>Heitor Banhete Raymundo</v>
      </c>
      <c r="C23" s="28" t="n">
        <f aca="false">MC346A!C23</f>
        <v>42</v>
      </c>
      <c r="D23" s="28" t="str">
        <f aca="false">MC346A!D23</f>
        <v>G</v>
      </c>
      <c r="E23" s="20" t="n">
        <v>0.7</v>
      </c>
      <c r="F23" s="20" t="n">
        <v>0.5</v>
      </c>
      <c r="G23" s="20" t="n">
        <v>0</v>
      </c>
      <c r="H23" s="20" t="n">
        <v>0</v>
      </c>
      <c r="I23" s="20" t="n">
        <f aca="false">SUM(E23:H23)</f>
        <v>1.2</v>
      </c>
    </row>
    <row r="24" customFormat="false" ht="12.8" hidden="false" customHeight="false" outlineLevel="0" collapsed="false">
      <c r="A24" s="27" t="n">
        <f aca="false">MC346A!A24</f>
        <v>146752</v>
      </c>
      <c r="B24" s="27" t="str">
        <f aca="false">MC346A!B24</f>
        <v>Julio Barros de Paula</v>
      </c>
      <c r="C24" s="28" t="n">
        <f aca="false">MC346A!C24</f>
        <v>42</v>
      </c>
      <c r="D24" s="28" t="str">
        <f aca="false">MC346A!D24</f>
        <v>G</v>
      </c>
      <c r="E24" s="20" t="n">
        <v>2.2</v>
      </c>
      <c r="F24" s="20" t="n">
        <v>1.1</v>
      </c>
      <c r="G24" s="20" t="n">
        <v>2.5</v>
      </c>
      <c r="H24" s="20" t="n">
        <v>1.5</v>
      </c>
      <c r="I24" s="20" t="n">
        <f aca="false">SUM(E24:H24)</f>
        <v>7.3</v>
      </c>
    </row>
    <row r="25" customFormat="false" ht="12.8" hidden="false" customHeight="false" outlineLevel="0" collapsed="false">
      <c r="A25" s="27" t="n">
        <f aca="false">MC346A!A25</f>
        <v>147338</v>
      </c>
      <c r="B25" s="27" t="str">
        <f aca="false">MC346A!B25</f>
        <v>Mateus Augusto Bellomo Agrello Ruivo</v>
      </c>
      <c r="C25" s="28" t="n">
        <f aca="false">MC346A!C25</f>
        <v>42</v>
      </c>
      <c r="D25" s="28" t="str">
        <f aca="false">MC346A!D25</f>
        <v>G</v>
      </c>
      <c r="E25" s="20" t="n">
        <v>1.5</v>
      </c>
      <c r="F25" s="20" t="n">
        <v>2.5</v>
      </c>
      <c r="G25" s="20" t="n">
        <v>2.5</v>
      </c>
      <c r="H25" s="20" t="n">
        <v>2.5</v>
      </c>
      <c r="I25" s="20" t="n">
        <f aca="false">SUM(E25:H25)</f>
        <v>9</v>
      </c>
    </row>
    <row r="26" customFormat="false" ht="12.8" hidden="false" customHeight="false" outlineLevel="0" collapsed="false">
      <c r="A26" s="27" t="n">
        <f aca="false">MC346A!A26</f>
        <v>148246</v>
      </c>
      <c r="B26" s="27" t="str">
        <f aca="false">MC346A!B26</f>
        <v>Wilson Novais Martins</v>
      </c>
      <c r="C26" s="28" t="n">
        <f aca="false">MC346A!C26</f>
        <v>42</v>
      </c>
      <c r="D26" s="28" t="str">
        <f aca="false">MC346A!D26</f>
        <v>G</v>
      </c>
      <c r="E26" s="20" t="n">
        <v>1</v>
      </c>
      <c r="F26" s="20" t="n">
        <v>0.5</v>
      </c>
      <c r="G26" s="20" t="n">
        <v>1</v>
      </c>
      <c r="H26" s="20" t="n">
        <v>1.5</v>
      </c>
      <c r="I26" s="20" t="n">
        <f aca="false">SUM(E26:H26)</f>
        <v>4</v>
      </c>
    </row>
    <row r="27" customFormat="false" ht="12.8" hidden="false" customHeight="false" outlineLevel="0" collapsed="false">
      <c r="A27" s="27" t="n">
        <f aca="false">MC346A!A27</f>
        <v>148387</v>
      </c>
      <c r="B27" s="27" t="str">
        <f aca="false">MC346A!B27</f>
        <v>Bruno Masetto Sander</v>
      </c>
      <c r="C27" s="28" t="n">
        <f aca="false">MC346A!C27</f>
        <v>42</v>
      </c>
      <c r="D27" s="28" t="str">
        <f aca="false">MC346A!D27</f>
        <v>G</v>
      </c>
      <c r="E27" s="20"/>
      <c r="F27" s="20"/>
      <c r="G27" s="20"/>
      <c r="H27" s="20"/>
      <c r="I27" s="20"/>
    </row>
    <row r="28" customFormat="false" ht="12.8" hidden="false" customHeight="false" outlineLevel="0" collapsed="false">
      <c r="A28" s="27" t="n">
        <f aca="false">MC346A!A28</f>
        <v>149014</v>
      </c>
      <c r="B28" s="27" t="str">
        <f aca="false">MC346A!B28</f>
        <v>Tiago Abreu Munarolo</v>
      </c>
      <c r="C28" s="28" t="n">
        <f aca="false">MC346A!C28</f>
        <v>34</v>
      </c>
      <c r="D28" s="28" t="str">
        <f aca="false">MC346A!D28</f>
        <v>G</v>
      </c>
      <c r="E28" s="20" t="n">
        <v>2.5</v>
      </c>
      <c r="F28" s="20" t="n">
        <v>2.3</v>
      </c>
      <c r="G28" s="20" t="n">
        <v>0</v>
      </c>
      <c r="H28" s="20" t="n">
        <v>2</v>
      </c>
      <c r="I28" s="20" t="n">
        <f aca="false">SUM(E28:H28)</f>
        <v>6.8</v>
      </c>
    </row>
    <row r="29" customFormat="false" ht="12.8" hidden="false" customHeight="false" outlineLevel="0" collapsed="false">
      <c r="A29" s="27" t="n">
        <f aca="false">MC346A!A29</f>
        <v>150604</v>
      </c>
      <c r="B29" s="27" t="str">
        <f aca="false">MC346A!B29</f>
        <v>Denis de Almeida Oliveira</v>
      </c>
      <c r="C29" s="28" t="n">
        <f aca="false">MC346A!C29</f>
        <v>42</v>
      </c>
      <c r="D29" s="28" t="str">
        <f aca="false">MC346A!D29</f>
        <v>G</v>
      </c>
      <c r="E29" s="20" t="n">
        <v>2</v>
      </c>
      <c r="F29" s="20" t="n">
        <v>2</v>
      </c>
      <c r="G29" s="20" t="n">
        <v>0.5</v>
      </c>
      <c r="H29" s="20" t="n">
        <v>2</v>
      </c>
      <c r="I29" s="20" t="n">
        <f aca="false">SUM(E29:H29)</f>
        <v>6.5</v>
      </c>
    </row>
    <row r="30" customFormat="false" ht="12.8" hidden="false" customHeight="false" outlineLevel="0" collapsed="false">
      <c r="A30" s="27" t="n">
        <f aca="false">MC346A!A30</f>
        <v>150630</v>
      </c>
      <c r="B30" s="27" t="str">
        <f aca="false">MC346A!B30</f>
        <v>Gabriel Otero</v>
      </c>
      <c r="C30" s="28" t="n">
        <f aca="false">MC346A!C30</f>
        <v>42</v>
      </c>
      <c r="D30" s="28" t="str">
        <f aca="false">MC346A!D30</f>
        <v>G</v>
      </c>
      <c r="E30" s="20" t="n">
        <v>2.4</v>
      </c>
      <c r="F30" s="20" t="n">
        <v>2.5</v>
      </c>
      <c r="G30" s="20" t="n">
        <v>2</v>
      </c>
      <c r="H30" s="20" t="n">
        <v>2.5</v>
      </c>
      <c r="I30" s="20" t="n">
        <f aca="false">SUM(E30:H30)</f>
        <v>9.4</v>
      </c>
    </row>
    <row r="31" customFormat="false" ht="12.8" hidden="false" customHeight="false" outlineLevel="0" collapsed="false">
      <c r="A31" s="27" t="n">
        <f aca="false">MC346A!A31</f>
        <v>155299</v>
      </c>
      <c r="B31" s="27" t="str">
        <f aca="false">MC346A!B31</f>
        <v>Felipe dal Mas Eulalio</v>
      </c>
      <c r="C31" s="28" t="n">
        <f aca="false">MC346A!C31</f>
        <v>42</v>
      </c>
      <c r="D31" s="28" t="str">
        <f aca="false">MC346A!D31</f>
        <v>G</v>
      </c>
      <c r="E31" s="20" t="n">
        <v>1.5</v>
      </c>
      <c r="F31" s="20" t="n">
        <v>2</v>
      </c>
      <c r="G31" s="20" t="n">
        <v>2.5</v>
      </c>
      <c r="H31" s="20" t="n">
        <v>1.5</v>
      </c>
      <c r="I31" s="20" t="n">
        <f aca="false">SUM(E31:H31)</f>
        <v>7.5</v>
      </c>
    </row>
    <row r="32" customFormat="false" ht="12.8" hidden="false" customHeight="false" outlineLevel="0" collapsed="false">
      <c r="A32" s="27" t="n">
        <f aca="false">MC346A!A32</f>
        <v>155646</v>
      </c>
      <c r="B32" s="27" t="str">
        <f aca="false">MC346A!B32</f>
        <v>Gunter Mingato de Oliveira</v>
      </c>
      <c r="C32" s="28" t="n">
        <f aca="false">MC346A!C32</f>
        <v>34</v>
      </c>
      <c r="D32" s="28" t="str">
        <f aca="false">MC346A!D32</f>
        <v>G</v>
      </c>
      <c r="E32" s="20" t="n">
        <v>1.5</v>
      </c>
      <c r="F32" s="20" t="n">
        <v>2.5</v>
      </c>
      <c r="G32" s="20" t="n">
        <v>1</v>
      </c>
      <c r="H32" s="20" t="n">
        <v>1.5</v>
      </c>
      <c r="I32" s="20" t="n">
        <f aca="false">SUM(E32:H32)</f>
        <v>6.5</v>
      </c>
    </row>
    <row r="33" customFormat="false" ht="12.8" hidden="false" customHeight="false" outlineLevel="0" collapsed="false">
      <c r="A33" s="27" t="n">
        <f aca="false">MC346A!A33</f>
        <v>155943</v>
      </c>
      <c r="B33" s="27" t="str">
        <f aca="false">MC346A!B33</f>
        <v>João Víctor Brazileu Spuri</v>
      </c>
      <c r="C33" s="28" t="n">
        <f aca="false">MC346A!C33</f>
        <v>42</v>
      </c>
      <c r="D33" s="28" t="str">
        <f aca="false">MC346A!D33</f>
        <v>G</v>
      </c>
      <c r="E33" s="20" t="n">
        <v>1.5</v>
      </c>
      <c r="F33" s="20" t="n">
        <v>2.5</v>
      </c>
      <c r="G33" s="20" t="n">
        <v>2.5</v>
      </c>
      <c r="H33" s="20" t="n">
        <v>1</v>
      </c>
      <c r="I33" s="20" t="n">
        <f aca="false">SUM(E33:H33)</f>
        <v>7.5</v>
      </c>
    </row>
    <row r="34" customFormat="false" ht="12.8" hidden="false" customHeight="false" outlineLevel="0" collapsed="false">
      <c r="A34" s="27" t="n">
        <f aca="false">MC346A!A34</f>
        <v>155976</v>
      </c>
      <c r="B34" s="27" t="str">
        <f aca="false">MC346A!B34</f>
        <v>Jose Henrique Ferreira Pinto</v>
      </c>
      <c r="C34" s="28" t="n">
        <f aca="false">MC346A!C34</f>
        <v>42</v>
      </c>
      <c r="D34" s="28" t="str">
        <f aca="false">MC346A!D34</f>
        <v>G</v>
      </c>
      <c r="E34" s="20" t="n">
        <v>0</v>
      </c>
      <c r="F34" s="20" t="n">
        <v>2.5</v>
      </c>
      <c r="G34" s="20" t="n">
        <v>1.5</v>
      </c>
      <c r="H34" s="20" t="n">
        <v>2.5</v>
      </c>
      <c r="I34" s="20" t="n">
        <f aca="false">SUM(E34:H34)</f>
        <v>6.5</v>
      </c>
    </row>
    <row r="35" customFormat="false" ht="12.8" hidden="false" customHeight="false" outlineLevel="0" collapsed="false">
      <c r="A35" s="27" t="n">
        <f aca="false">MC346A!A35</f>
        <v>156362</v>
      </c>
      <c r="B35" s="27" t="str">
        <f aca="false">MC346A!B35</f>
        <v>Lucas Gabriel Silverio de Freitas</v>
      </c>
      <c r="C35" s="28" t="n">
        <f aca="false">MC346A!C35</f>
        <v>34</v>
      </c>
      <c r="D35" s="28" t="str">
        <f aca="false">MC346A!D35</f>
        <v>G</v>
      </c>
      <c r="E35" s="20" t="n">
        <v>2</v>
      </c>
      <c r="F35" s="20" t="n">
        <v>0.5</v>
      </c>
      <c r="G35" s="20" t="n">
        <v>2</v>
      </c>
      <c r="H35" s="20" t="n">
        <v>1.3</v>
      </c>
      <c r="I35" s="20" t="n">
        <f aca="false">SUM(E35:H35)</f>
        <v>5.8</v>
      </c>
    </row>
    <row r="36" customFormat="false" ht="12.8" hidden="false" customHeight="false" outlineLevel="0" collapsed="false">
      <c r="A36" s="27" t="n">
        <f aca="false">MC346A!A36</f>
        <v>156405</v>
      </c>
      <c r="B36" s="27" t="str">
        <f aca="false">MC346A!B36</f>
        <v>Lucas Rodolfo de Castro Moura</v>
      </c>
      <c r="C36" s="28" t="n">
        <f aca="false">MC346A!C36</f>
        <v>42</v>
      </c>
      <c r="D36" s="28" t="str">
        <f aca="false">MC346A!D36</f>
        <v>G</v>
      </c>
      <c r="E36" s="20"/>
      <c r="F36" s="20"/>
      <c r="G36" s="20"/>
      <c r="H36" s="20"/>
      <c r="I36" s="20"/>
    </row>
    <row r="37" customFormat="false" ht="12.8" hidden="false" customHeight="false" outlineLevel="0" collapsed="false">
      <c r="A37" s="27" t="n">
        <f aca="false">MC346A!A37</f>
        <v>158336</v>
      </c>
      <c r="B37" s="27" t="str">
        <f aca="false">MC346A!B37</f>
        <v>Pedro Gabriel Martins Ono</v>
      </c>
      <c r="C37" s="28" t="n">
        <f aca="false">MC346A!C37</f>
        <v>34</v>
      </c>
      <c r="D37" s="28" t="str">
        <f aca="false">MC346A!D37</f>
        <v>G</v>
      </c>
      <c r="E37" s="20" t="n">
        <v>1</v>
      </c>
      <c r="F37" s="20" t="n">
        <v>0.6</v>
      </c>
      <c r="G37" s="20" t="n">
        <v>1.5</v>
      </c>
      <c r="H37" s="20" t="n">
        <v>0.5</v>
      </c>
      <c r="I37" s="20" t="n">
        <f aca="false">SUM(E37:H37)</f>
        <v>3.6</v>
      </c>
    </row>
    <row r="38" customFormat="false" ht="12.8" hidden="false" customHeight="false" outlineLevel="0" collapsed="false">
      <c r="A38" s="27" t="n">
        <f aca="false">MC346A!A38</f>
        <v>160013</v>
      </c>
      <c r="B38" s="27" t="str">
        <f aca="false">MC346A!B38</f>
        <v>Victor Fontana Saez</v>
      </c>
      <c r="C38" s="28" t="n">
        <f aca="false">MC346A!C38</f>
        <v>34</v>
      </c>
      <c r="D38" s="28" t="str">
        <f aca="false">MC346A!D38</f>
        <v>G</v>
      </c>
      <c r="E38" s="20" t="n">
        <v>1</v>
      </c>
      <c r="F38" s="20" t="n">
        <v>0.5</v>
      </c>
      <c r="G38" s="20" t="n">
        <v>0</v>
      </c>
      <c r="H38" s="20" t="n">
        <v>1</v>
      </c>
      <c r="I38" s="20" t="n">
        <f aca="false">SUM(E38:H38)</f>
        <v>2.5</v>
      </c>
    </row>
    <row r="39" customFormat="false" ht="12.8" hidden="false" customHeight="false" outlineLevel="0" collapsed="false">
      <c r="A39" s="27" t="n">
        <f aca="false">MC346A!A39</f>
        <v>160160</v>
      </c>
      <c r="B39" s="27" t="str">
        <f aca="false">MC346A!B39</f>
        <v>Guilherme Furlan</v>
      </c>
      <c r="C39" s="28" t="n">
        <f aca="false">MC346A!C39</f>
        <v>42</v>
      </c>
      <c r="D39" s="28" t="str">
        <f aca="false">MC346A!D39</f>
        <v>G</v>
      </c>
      <c r="E39" s="20" t="n">
        <v>0.5</v>
      </c>
      <c r="F39" s="20" t="n">
        <v>0.5</v>
      </c>
      <c r="G39" s="20" t="n">
        <v>0.5</v>
      </c>
      <c r="H39" s="20" t="n">
        <v>0</v>
      </c>
      <c r="I39" s="20" t="n">
        <f aca="false">SUM(E39:H39)</f>
        <v>1.5</v>
      </c>
    </row>
    <row r="40" customFormat="false" ht="12.8" hidden="false" customHeight="false" outlineLevel="0" collapsed="false">
      <c r="A40" s="27" t="n">
        <f aca="false">MC346A!A40</f>
        <v>164213</v>
      </c>
      <c r="B40" s="27" t="str">
        <f aca="false">MC346A!B40</f>
        <v>Andreza Aparecida dos Santos</v>
      </c>
      <c r="C40" s="28" t="n">
        <f aca="false">MC346A!C40</f>
        <v>34</v>
      </c>
      <c r="D40" s="28" t="str">
        <f aca="false">MC346A!D40</f>
        <v>G</v>
      </c>
      <c r="E40" s="20" t="n">
        <v>0</v>
      </c>
      <c r="F40" s="20" t="n">
        <v>1.3</v>
      </c>
      <c r="G40" s="20" t="n">
        <v>0</v>
      </c>
      <c r="H40" s="20" t="n">
        <v>1.5</v>
      </c>
      <c r="I40" s="20" t="n">
        <f aca="false">SUM(E40:H40)</f>
        <v>2.8</v>
      </c>
    </row>
    <row r="41" customFormat="false" ht="12.8" hidden="false" customHeight="false" outlineLevel="0" collapsed="false">
      <c r="A41" s="27" t="n">
        <f aca="false">MC346A!A41</f>
        <v>164468</v>
      </c>
      <c r="B41" s="27" t="str">
        <f aca="false">MC346A!B41</f>
        <v>Artur Eiji Suguinoshita Aciole</v>
      </c>
      <c r="C41" s="28" t="n">
        <f aca="false">MC346A!C41</f>
        <v>42</v>
      </c>
      <c r="D41" s="28" t="str">
        <f aca="false">MC346A!D41</f>
        <v>G</v>
      </c>
      <c r="E41" s="20" t="n">
        <v>2.5</v>
      </c>
      <c r="F41" s="20" t="n">
        <v>2</v>
      </c>
      <c r="G41" s="20" t="n">
        <v>2.5</v>
      </c>
      <c r="H41" s="20" t="n">
        <v>1.5</v>
      </c>
      <c r="I41" s="20" t="n">
        <f aca="false">SUM(E41:H41)</f>
        <v>8.5</v>
      </c>
    </row>
    <row r="42" customFormat="false" ht="12.8" hidden="false" customHeight="false" outlineLevel="0" collapsed="false">
      <c r="A42" s="27" t="n">
        <f aca="false">MC346A!A42</f>
        <v>164700</v>
      </c>
      <c r="B42" s="27" t="str">
        <f aca="false">MC346A!B42</f>
        <v>Beatriz Inácio dos Santos</v>
      </c>
      <c r="C42" s="28" t="n">
        <f aca="false">MC346A!C42</f>
        <v>42</v>
      </c>
      <c r="D42" s="28" t="str">
        <f aca="false">MC346A!D42</f>
        <v>G</v>
      </c>
      <c r="E42" s="20" t="n">
        <v>0.7</v>
      </c>
      <c r="F42" s="20" t="n">
        <v>0.5</v>
      </c>
      <c r="G42" s="20" t="n">
        <v>2</v>
      </c>
      <c r="H42" s="20" t="n">
        <v>2.5</v>
      </c>
      <c r="I42" s="20" t="n">
        <f aca="false">SUM(E42:H42)</f>
        <v>5.7</v>
      </c>
    </row>
    <row r="43" customFormat="false" ht="12.8" hidden="false" customHeight="false" outlineLevel="0" collapsed="false">
      <c r="A43" s="27" t="n">
        <f aca="false">MC346A!A43</f>
        <v>166082</v>
      </c>
      <c r="B43" s="27" t="str">
        <f aca="false">MC346A!B43</f>
        <v>Clara Pompeu de Sousa Brasil Carneiro</v>
      </c>
      <c r="C43" s="28" t="n">
        <f aca="false">MC346A!C43</f>
        <v>34</v>
      </c>
      <c r="D43" s="28" t="str">
        <f aca="false">MC346A!D43</f>
        <v>G</v>
      </c>
      <c r="E43" s="20"/>
      <c r="F43" s="20"/>
      <c r="G43" s="20"/>
      <c r="H43" s="20"/>
      <c r="I43" s="20"/>
    </row>
    <row r="44" customFormat="false" ht="12.8" hidden="false" customHeight="false" outlineLevel="0" collapsed="false">
      <c r="A44" s="27" t="n">
        <f aca="false">MC346A!A44</f>
        <v>166213</v>
      </c>
      <c r="B44" s="27" t="str">
        <f aca="false">MC346A!B44</f>
        <v>Daniel Godoy Marques</v>
      </c>
      <c r="C44" s="28" t="n">
        <f aca="false">MC346A!C44</f>
        <v>42</v>
      </c>
      <c r="D44" s="28" t="str">
        <f aca="false">MC346A!D44</f>
        <v>G</v>
      </c>
      <c r="E44" s="20" t="n">
        <v>0</v>
      </c>
      <c r="F44" s="20" t="n">
        <v>1.5</v>
      </c>
      <c r="G44" s="20" t="n">
        <v>0</v>
      </c>
      <c r="H44" s="20" t="n">
        <v>1</v>
      </c>
      <c r="I44" s="20" t="n">
        <f aca="false">SUM(E44:H44)</f>
        <v>2.5</v>
      </c>
    </row>
    <row r="45" customFormat="false" ht="12.8" hidden="false" customHeight="false" outlineLevel="0" collapsed="false">
      <c r="A45" s="27" t="n">
        <f aca="false">MC346A!A45</f>
        <v>166249</v>
      </c>
      <c r="B45" s="27" t="str">
        <f aca="false">MC346A!B45</f>
        <v>Daniel Pereira Rodrigues</v>
      </c>
      <c r="C45" s="28" t="n">
        <f aca="false">MC346A!C45</f>
        <v>42</v>
      </c>
      <c r="D45" s="28" t="str">
        <f aca="false">MC346A!D45</f>
        <v>G</v>
      </c>
      <c r="E45" s="20" t="n">
        <v>2.5</v>
      </c>
      <c r="F45" s="20" t="n">
        <v>2.5</v>
      </c>
      <c r="G45" s="20" t="n">
        <v>2</v>
      </c>
      <c r="H45" s="20" t="n">
        <v>2.5</v>
      </c>
      <c r="I45" s="20" t="n">
        <f aca="false">SUM(E45:H45)</f>
        <v>9.5</v>
      </c>
    </row>
    <row r="46" customFormat="false" ht="12.8" hidden="false" customHeight="false" outlineLevel="0" collapsed="false">
      <c r="A46" s="27" t="n">
        <f aca="false">MC346A!A46</f>
        <v>168357</v>
      </c>
      <c r="B46" s="27" t="str">
        <f aca="false">MC346A!B46</f>
        <v>Gabriela Pereira Neri</v>
      </c>
      <c r="C46" s="28" t="n">
        <f aca="false">MC346A!C46</f>
        <v>42</v>
      </c>
      <c r="D46" s="28" t="str">
        <f aca="false">MC346A!D46</f>
        <v>G</v>
      </c>
      <c r="E46" s="20" t="n">
        <v>0.7</v>
      </c>
      <c r="F46" s="20" t="n">
        <v>1.5</v>
      </c>
      <c r="G46" s="20" t="n">
        <v>1</v>
      </c>
      <c r="H46" s="20" t="n">
        <v>1.5</v>
      </c>
      <c r="I46" s="20" t="n">
        <f aca="false">SUM(E46:H46)</f>
        <v>4.7</v>
      </c>
    </row>
    <row r="47" customFormat="false" ht="12.8" hidden="false" customHeight="false" outlineLevel="0" collapsed="false">
      <c r="A47" s="27" t="n">
        <f aca="false">MC346A!A47</f>
        <v>168891</v>
      </c>
      <c r="B47" s="27" t="str">
        <f aca="false">MC346A!B47</f>
        <v>Guilherme Alves Valarini</v>
      </c>
      <c r="C47" s="28" t="n">
        <f aca="false">MC346A!C47</f>
        <v>42</v>
      </c>
      <c r="D47" s="28" t="str">
        <f aca="false">MC346A!D47</f>
        <v>G</v>
      </c>
      <c r="E47" s="20" t="n">
        <v>2.5</v>
      </c>
      <c r="F47" s="20" t="n">
        <v>2.5</v>
      </c>
      <c r="G47" s="20" t="n">
        <v>2.5</v>
      </c>
      <c r="H47" s="20" t="n">
        <v>2.5</v>
      </c>
      <c r="I47" s="20" t="n">
        <f aca="false">SUM(E47:H47)</f>
        <v>10</v>
      </c>
    </row>
    <row r="48" customFormat="false" ht="12.8" hidden="false" customHeight="false" outlineLevel="0" collapsed="false">
      <c r="A48" s="27" t="n">
        <f aca="false">MC346A!A48</f>
        <v>169621</v>
      </c>
      <c r="B48" s="27" t="str">
        <f aca="false">MC346A!B48</f>
        <v>Henrique Machado Gonçalves</v>
      </c>
      <c r="C48" s="28" t="n">
        <f aca="false">MC346A!C48</f>
        <v>42</v>
      </c>
      <c r="D48" s="28" t="str">
        <f aca="false">MC346A!D48</f>
        <v>G</v>
      </c>
      <c r="E48" s="20" t="n">
        <v>0.7</v>
      </c>
      <c r="F48" s="20" t="n">
        <v>0.5</v>
      </c>
      <c r="G48" s="20" t="n">
        <v>0.5</v>
      </c>
      <c r="H48" s="20" t="n">
        <v>0.5</v>
      </c>
      <c r="I48" s="20" t="n">
        <f aca="false">SUM(E48:H48)</f>
        <v>2.2</v>
      </c>
    </row>
    <row r="49" customFormat="false" ht="12.8" hidden="false" customHeight="false" outlineLevel="0" collapsed="false">
      <c r="A49" s="27" t="n">
        <f aca="false">MC346A!A49</f>
        <v>169820</v>
      </c>
      <c r="B49" s="27" t="str">
        <f aca="false">MC346A!B49</f>
        <v>Igor Matheus Andrade Torrente</v>
      </c>
      <c r="C49" s="28" t="n">
        <f aca="false">MC346A!C49</f>
        <v>42</v>
      </c>
      <c r="D49" s="28" t="str">
        <f aca="false">MC346A!D49</f>
        <v>G</v>
      </c>
      <c r="E49" s="20" t="n">
        <v>1.5</v>
      </c>
      <c r="F49" s="20" t="n">
        <v>1.3</v>
      </c>
      <c r="G49" s="20" t="n">
        <v>1.5</v>
      </c>
      <c r="H49" s="20" t="n">
        <v>2</v>
      </c>
      <c r="I49" s="20" t="n">
        <f aca="false">SUM(E49:H49)</f>
        <v>6.3</v>
      </c>
    </row>
    <row r="50" customFormat="false" ht="12.8" hidden="false" customHeight="false" outlineLevel="0" collapsed="false">
      <c r="A50" s="27" t="n">
        <f aca="false">MC346A!A50</f>
        <v>170207</v>
      </c>
      <c r="B50" s="27" t="str">
        <f aca="false">MC346A!B50</f>
        <v>Italo Nicola Ponce Pasini Judice Neto</v>
      </c>
      <c r="C50" s="28" t="n">
        <f aca="false">MC346A!C50</f>
        <v>42</v>
      </c>
      <c r="D50" s="28" t="str">
        <f aca="false">MC346A!D50</f>
        <v>G</v>
      </c>
      <c r="E50" s="20" t="n">
        <v>0.7</v>
      </c>
      <c r="F50" s="20" t="n">
        <v>0.5</v>
      </c>
      <c r="G50" s="20" t="n">
        <v>2</v>
      </c>
      <c r="H50" s="20" t="n">
        <v>0</v>
      </c>
      <c r="I50" s="20" t="n">
        <f aca="false">SUM(E50:H50)</f>
        <v>3.2</v>
      </c>
    </row>
    <row r="51" customFormat="false" ht="12.8" hidden="false" customHeight="false" outlineLevel="0" collapsed="false">
      <c r="A51" s="27" t="n">
        <f aca="false">MC346A!A51</f>
        <v>170710</v>
      </c>
      <c r="B51" s="27" t="str">
        <f aca="false">MC346A!B51</f>
        <v>João Victor Fernandes Silva</v>
      </c>
      <c r="C51" s="28" t="n">
        <f aca="false">MC346A!C51</f>
        <v>34</v>
      </c>
      <c r="D51" s="28" t="str">
        <f aca="false">MC346A!D51</f>
        <v>G</v>
      </c>
      <c r="E51" s="20" t="n">
        <v>0</v>
      </c>
      <c r="F51" s="20" t="n">
        <v>2.5</v>
      </c>
      <c r="G51" s="20" t="n">
        <v>0</v>
      </c>
      <c r="H51" s="20" t="n">
        <v>2.5</v>
      </c>
      <c r="I51" s="20" t="n">
        <f aca="false">SUM(E51:H51)</f>
        <v>5</v>
      </c>
    </row>
    <row r="52" customFormat="false" ht="12.8" hidden="false" customHeight="false" outlineLevel="0" collapsed="false">
      <c r="A52" s="27" t="n">
        <f aca="false">MC346A!A52</f>
        <v>171866</v>
      </c>
      <c r="B52" s="27" t="str">
        <f aca="false">MC346A!B52</f>
        <v>Leila Pompeu Zwanziger</v>
      </c>
      <c r="C52" s="28" t="n">
        <f aca="false">MC346A!C52</f>
        <v>42</v>
      </c>
      <c r="D52" s="28" t="str">
        <f aca="false">MC346A!D52</f>
        <v>G</v>
      </c>
      <c r="E52" s="20" t="n">
        <v>2.5</v>
      </c>
      <c r="F52" s="20" t="n">
        <v>2.5</v>
      </c>
      <c r="G52" s="20" t="n">
        <v>1.5</v>
      </c>
      <c r="H52" s="20" t="n">
        <v>2</v>
      </c>
      <c r="I52" s="20" t="n">
        <f aca="false">SUM(E52:H52)</f>
        <v>8.5</v>
      </c>
    </row>
    <row r="53" customFormat="false" ht="12.8" hidden="false" customHeight="false" outlineLevel="0" collapsed="false">
      <c r="A53" s="27" t="n">
        <f aca="false">MC346A!A53</f>
        <v>172017</v>
      </c>
      <c r="B53" s="27" t="str">
        <f aca="false">MC346A!B53</f>
        <v>Leonardo Maldonado Pagnez</v>
      </c>
      <c r="C53" s="28" t="n">
        <f aca="false">MC346A!C53</f>
        <v>34</v>
      </c>
      <c r="D53" s="28" t="str">
        <f aca="false">MC346A!D53</f>
        <v>G</v>
      </c>
      <c r="E53" s="20" t="n">
        <v>1.3</v>
      </c>
      <c r="F53" s="20" t="n">
        <v>2.3</v>
      </c>
      <c r="G53" s="20" t="n">
        <v>2</v>
      </c>
      <c r="H53" s="20" t="n">
        <v>2</v>
      </c>
      <c r="I53" s="20" t="n">
        <f aca="false">SUM(E53:H53)</f>
        <v>7.6</v>
      </c>
    </row>
    <row r="54" customFormat="false" ht="12.8" hidden="false" customHeight="false" outlineLevel="0" collapsed="false">
      <c r="A54" s="27" t="n">
        <f aca="false">MC346A!A54</f>
        <v>172519</v>
      </c>
      <c r="B54" s="27" t="str">
        <f aca="false">MC346A!B54</f>
        <v>Luara Peres Oliveira da Silva</v>
      </c>
      <c r="C54" s="28" t="n">
        <f aca="false">MC346A!C54</f>
        <v>42</v>
      </c>
      <c r="D54" s="28" t="str">
        <f aca="false">MC346A!D54</f>
        <v>G</v>
      </c>
      <c r="E54" s="20" t="n">
        <v>0.5</v>
      </c>
      <c r="F54" s="20" t="n">
        <v>2</v>
      </c>
      <c r="G54" s="20" t="n">
        <v>2.5</v>
      </c>
      <c r="H54" s="20" t="n">
        <v>1.5</v>
      </c>
      <c r="I54" s="20" t="n">
        <f aca="false">SUM(E54:H54)</f>
        <v>6.5</v>
      </c>
    </row>
    <row r="55" customFormat="false" ht="12.8" hidden="false" customHeight="false" outlineLevel="0" collapsed="false">
      <c r="A55" s="27" t="n">
        <f aca="false">MC346A!A55</f>
        <v>172608</v>
      </c>
      <c r="B55" s="27" t="str">
        <f aca="false">MC346A!B55</f>
        <v>Lucas Brito Ferreira Matos</v>
      </c>
      <c r="C55" s="28" t="n">
        <f aca="false">MC346A!C55</f>
        <v>42</v>
      </c>
      <c r="D55" s="28" t="str">
        <f aca="false">MC346A!D55</f>
        <v>G</v>
      </c>
      <c r="E55" s="20" t="n">
        <v>2</v>
      </c>
      <c r="F55" s="20" t="n">
        <v>2</v>
      </c>
      <c r="G55" s="20" t="n">
        <v>0.5</v>
      </c>
      <c r="H55" s="20" t="n">
        <v>2</v>
      </c>
      <c r="I55" s="20" t="n">
        <f aca="false">SUM(E55:H55)</f>
        <v>6.5</v>
      </c>
    </row>
    <row r="56" customFormat="false" ht="12.8" hidden="false" customHeight="false" outlineLevel="0" collapsed="false">
      <c r="A56" s="27" t="n">
        <f aca="false">MC346A!A56</f>
        <v>172655</v>
      </c>
      <c r="B56" s="27" t="str">
        <f aca="false">MC346A!B56</f>
        <v>Lucas Cunha Agustini</v>
      </c>
      <c r="C56" s="28" t="n">
        <f aca="false">MC346A!C56</f>
        <v>42</v>
      </c>
      <c r="D56" s="28" t="str">
        <f aca="false">MC346A!D56</f>
        <v>G</v>
      </c>
      <c r="E56" s="20" t="n">
        <v>1.3</v>
      </c>
      <c r="F56" s="20" t="n">
        <v>2.5</v>
      </c>
      <c r="G56" s="20" t="n">
        <v>0.5</v>
      </c>
      <c r="H56" s="20" t="n">
        <v>1</v>
      </c>
      <c r="I56" s="20" t="n">
        <f aca="false">SUM(E56:H56)</f>
        <v>5.3</v>
      </c>
    </row>
    <row r="57" customFormat="false" ht="12.8" hidden="false" customHeight="false" outlineLevel="0" collapsed="false">
      <c r="A57" s="27" t="n">
        <f aca="false">MC346A!A57</f>
        <v>173728</v>
      </c>
      <c r="B57" s="27" t="str">
        <f aca="false">MC346A!B57</f>
        <v>Marcus Danilo Leite Rodrigues</v>
      </c>
      <c r="C57" s="28" t="n">
        <f aca="false">MC346A!C57</f>
        <v>34</v>
      </c>
      <c r="D57" s="28" t="str">
        <f aca="false">MC346A!D57</f>
        <v>G</v>
      </c>
      <c r="E57" s="20"/>
      <c r="F57" s="20"/>
      <c r="G57" s="20"/>
      <c r="H57" s="20"/>
      <c r="I57" s="20"/>
    </row>
    <row r="58" customFormat="false" ht="12.8" hidden="false" customHeight="false" outlineLevel="0" collapsed="false">
      <c r="A58" s="27" t="n">
        <f aca="false">MC346A!A58</f>
        <v>174233</v>
      </c>
      <c r="B58" s="27" t="str">
        <f aca="false">MC346A!B58</f>
        <v>Marina Miranda Aranha</v>
      </c>
      <c r="C58" s="28" t="n">
        <f aca="false">MC346A!C58</f>
        <v>42</v>
      </c>
      <c r="D58" s="28" t="str">
        <f aca="false">MC346A!D58</f>
        <v>G</v>
      </c>
      <c r="E58" s="20" t="n">
        <v>0.7</v>
      </c>
      <c r="F58" s="20" t="n">
        <v>1.5</v>
      </c>
      <c r="G58" s="20" t="n">
        <v>0.5</v>
      </c>
      <c r="H58" s="20" t="n">
        <v>2</v>
      </c>
      <c r="I58" s="20" t="n">
        <f aca="false">SUM(E58:H58)</f>
        <v>4.7</v>
      </c>
    </row>
    <row r="59" customFormat="false" ht="12.8" hidden="false" customHeight="false" outlineLevel="0" collapsed="false">
      <c r="A59" s="27" t="n">
        <f aca="false">MC346A!A59</f>
        <v>174847</v>
      </c>
      <c r="B59" s="27" t="str">
        <f aca="false">MC346A!B59</f>
        <v>Miguel Augusto Silva Guida</v>
      </c>
      <c r="C59" s="28" t="n">
        <f aca="false">MC346A!C59</f>
        <v>42</v>
      </c>
      <c r="D59" s="28" t="str">
        <f aca="false">MC346A!D59</f>
        <v>G</v>
      </c>
      <c r="E59" s="20" t="n">
        <v>0</v>
      </c>
      <c r="F59" s="20" t="n">
        <v>1.5</v>
      </c>
      <c r="G59" s="20" t="n">
        <v>0</v>
      </c>
      <c r="H59" s="20" t="n">
        <v>1.5</v>
      </c>
      <c r="I59" s="20" t="n">
        <f aca="false">SUM(E59:H59)</f>
        <v>3</v>
      </c>
    </row>
    <row r="60" customFormat="false" ht="12.8" hidden="false" customHeight="false" outlineLevel="0" collapsed="false">
      <c r="A60" s="27" t="n">
        <f aca="false">MC346A!A60</f>
        <v>175828</v>
      </c>
      <c r="B60" s="27" t="str">
        <f aca="false">MC346A!B60</f>
        <v>Pedro Hideaki Uiechi Chinen</v>
      </c>
      <c r="C60" s="28" t="n">
        <f aca="false">MC346A!C60</f>
        <v>42</v>
      </c>
      <c r="D60" s="28" t="str">
        <f aca="false">MC346A!D60</f>
        <v>G</v>
      </c>
      <c r="E60" s="20" t="n">
        <v>1.5</v>
      </c>
      <c r="F60" s="20" t="n">
        <v>2.5</v>
      </c>
      <c r="G60" s="20" t="n">
        <v>2.5</v>
      </c>
      <c r="H60" s="20" t="n">
        <v>2.5</v>
      </c>
      <c r="I60" s="20" t="n">
        <f aca="false">SUM(E60:H60)</f>
        <v>9</v>
      </c>
    </row>
    <row r="61" customFormat="false" ht="12.8" hidden="false" customHeight="false" outlineLevel="0" collapsed="false">
      <c r="A61" s="27" t="n">
        <f aca="false">MC346A!A61</f>
        <v>175955</v>
      </c>
      <c r="B61" s="27" t="str">
        <f aca="false">MC346A!B61</f>
        <v>Pedro Stramantinoli Pires Cagliume Gomes</v>
      </c>
      <c r="C61" s="28" t="n">
        <f aca="false">MC346A!C61</f>
        <v>34</v>
      </c>
      <c r="D61" s="28" t="str">
        <f aca="false">MC346A!D61</f>
        <v>G</v>
      </c>
      <c r="E61" s="20"/>
      <c r="F61" s="20"/>
      <c r="G61" s="20"/>
      <c r="H61" s="20"/>
      <c r="I61" s="20"/>
    </row>
    <row r="62" customFormat="false" ht="12.8" hidden="false" customHeight="false" outlineLevel="0" collapsed="false">
      <c r="A62" s="27" t="n">
        <f aca="false">MC346A!A62</f>
        <v>176081</v>
      </c>
      <c r="B62" s="27" t="str">
        <f aca="false">MC346A!B62</f>
        <v>Rafael Bueno Lamarques Alves</v>
      </c>
      <c r="C62" s="28" t="n">
        <f aca="false">MC346A!C62</f>
        <v>42</v>
      </c>
      <c r="D62" s="28" t="str">
        <f aca="false">MC346A!D62</f>
        <v>G</v>
      </c>
      <c r="E62" s="20" t="n">
        <v>0.5</v>
      </c>
      <c r="F62" s="20" t="n">
        <v>1</v>
      </c>
      <c r="G62" s="20" t="n">
        <v>2.5</v>
      </c>
      <c r="H62" s="20" t="n">
        <v>2.5</v>
      </c>
      <c r="I62" s="20" t="n">
        <f aca="false">SUM(E62:H62)</f>
        <v>6.5</v>
      </c>
    </row>
    <row r="63" customFormat="false" ht="12.8" hidden="false" customHeight="false" outlineLevel="0" collapsed="false">
      <c r="A63" s="27" t="n">
        <f aca="false">MC346A!A63</f>
        <v>176127</v>
      </c>
      <c r="B63" s="27" t="str">
        <f aca="false">MC346A!B63</f>
        <v>Rafael Eiki Matheus Imamura</v>
      </c>
      <c r="C63" s="28" t="n">
        <f aca="false">MC346A!C63</f>
        <v>42</v>
      </c>
      <c r="D63" s="28" t="str">
        <f aca="false">MC346A!D63</f>
        <v>G</v>
      </c>
      <c r="E63" s="20" t="n">
        <v>2.5</v>
      </c>
      <c r="F63" s="20" t="n">
        <v>2.5</v>
      </c>
      <c r="G63" s="20" t="n">
        <v>2.5</v>
      </c>
      <c r="H63" s="20" t="n">
        <v>2.5</v>
      </c>
      <c r="I63" s="20" t="n">
        <f aca="false">SUM(E63:H63)</f>
        <v>10</v>
      </c>
    </row>
    <row r="64" customFormat="false" ht="12.8" hidden="false" customHeight="false" outlineLevel="0" collapsed="false">
      <c r="A64" s="27" t="n">
        <f aca="false">MC346A!A64</f>
        <v>177065</v>
      </c>
      <c r="B64" s="27" t="str">
        <f aca="false">MC346A!B64</f>
        <v>Samuel Felipe Chenatti</v>
      </c>
      <c r="C64" s="28" t="n">
        <f aca="false">MC346A!C64</f>
        <v>42</v>
      </c>
      <c r="D64" s="28" t="str">
        <f aca="false">MC346A!D64</f>
        <v>G</v>
      </c>
      <c r="E64" s="20" t="n">
        <v>2.5</v>
      </c>
      <c r="F64" s="20" t="n">
        <v>2</v>
      </c>
      <c r="G64" s="20" t="n">
        <v>2</v>
      </c>
      <c r="H64" s="20" t="n">
        <v>2</v>
      </c>
      <c r="I64" s="20" t="n">
        <f aca="false">SUM(E64:H64)</f>
        <v>8.5</v>
      </c>
    </row>
    <row r="65" customFormat="false" ht="12.8" hidden="false" customHeight="false" outlineLevel="0" collapsed="false">
      <c r="A65" s="27" t="n">
        <f aca="false">MC346A!A65</f>
        <v>177677</v>
      </c>
      <c r="B65" s="27" t="str">
        <f aca="false">MC346A!B65</f>
        <v>Thomas Jun Yamasaki</v>
      </c>
      <c r="C65" s="28" t="n">
        <f aca="false">MC346A!C65</f>
        <v>34</v>
      </c>
      <c r="D65" s="28" t="str">
        <f aca="false">MC346A!D65</f>
        <v>G</v>
      </c>
      <c r="E65" s="20" t="n">
        <v>0</v>
      </c>
      <c r="F65" s="20" t="n">
        <v>1.5</v>
      </c>
      <c r="G65" s="20" t="n">
        <v>1.5</v>
      </c>
      <c r="H65" s="20" t="n">
        <v>2</v>
      </c>
      <c r="I65" s="20" t="n">
        <f aca="false">SUM(E65:H65)</f>
        <v>5</v>
      </c>
    </row>
    <row r="66" customFormat="false" ht="12.8" hidden="false" customHeight="false" outlineLevel="0" collapsed="false">
      <c r="A66" s="27" t="n">
        <f aca="false">MC346A!A66</f>
        <v>178018</v>
      </c>
      <c r="B66" s="27" t="str">
        <f aca="false">MC346A!B66</f>
        <v>Victor Luccas Soares Villas Boas Antunes</v>
      </c>
      <c r="C66" s="28" t="n">
        <f aca="false">MC346A!C66</f>
        <v>42</v>
      </c>
      <c r="D66" s="28" t="str">
        <f aca="false">MC346A!D66</f>
        <v>G</v>
      </c>
      <c r="E66" s="20" t="n">
        <v>2.5</v>
      </c>
      <c r="F66" s="20" t="n">
        <v>2.5</v>
      </c>
      <c r="G66" s="20" t="n">
        <v>2.5</v>
      </c>
      <c r="H66" s="20" t="n">
        <v>2.5</v>
      </c>
      <c r="I66" s="20" t="n">
        <f aca="false">SUM(E66:H66)</f>
        <v>10</v>
      </c>
    </row>
    <row r="67" customFormat="false" ht="12.8" hidden="false" customHeight="false" outlineLevel="0" collapsed="false">
      <c r="A67" s="27" t="n">
        <f aca="false">MC346A!A67</f>
        <v>178183</v>
      </c>
      <c r="B67" s="27" t="str">
        <f aca="false">MC346A!B67</f>
        <v>Vinícius Balbino de Souza</v>
      </c>
      <c r="C67" s="28" t="n">
        <f aca="false">MC346A!C67</f>
        <v>42</v>
      </c>
      <c r="D67" s="28" t="str">
        <f aca="false">MC346A!D67</f>
        <v>G</v>
      </c>
      <c r="E67" s="20" t="n">
        <v>1.5</v>
      </c>
      <c r="F67" s="20" t="n">
        <v>1.5</v>
      </c>
      <c r="G67" s="20" t="n">
        <v>1</v>
      </c>
      <c r="H67" s="20" t="n">
        <v>2</v>
      </c>
      <c r="I67" s="20" t="n">
        <f aca="false">SUM(E67:H67)</f>
        <v>6</v>
      </c>
    </row>
    <row r="68" customFormat="false" ht="12.8" hidden="false" customHeight="false" outlineLevel="0" collapsed="false">
      <c r="A68" s="27" t="n">
        <f aca="false">MC346A!A68</f>
        <v>951431</v>
      </c>
      <c r="B68" s="27" t="str">
        <f aca="false">MC346A!B68</f>
        <v>Ricardo Dirani</v>
      </c>
      <c r="C68" s="28" t="n">
        <f aca="false">MC346A!C68</f>
        <v>42</v>
      </c>
      <c r="D68" s="28" t="str">
        <f aca="false">MC346A!D68</f>
        <v>G</v>
      </c>
      <c r="E68" s="20" t="n">
        <v>0</v>
      </c>
      <c r="F68" s="20" t="n">
        <v>0</v>
      </c>
      <c r="G68" s="20" t="n">
        <v>0</v>
      </c>
      <c r="H68" s="20" t="n">
        <v>0</v>
      </c>
      <c r="I68" s="20" t="n">
        <f aca="false">SUM(E68:H68)</f>
        <v>0</v>
      </c>
    </row>
    <row r="70" customFormat="false" ht="12.8" hidden="false" customHeight="false" outlineLevel="0" collapsed="false">
      <c r="B70" s="0" t="s">
        <v>44</v>
      </c>
      <c r="E70" s="29" t="n">
        <f aca="false">AVERAGE(E3:E69)</f>
        <v>1.255</v>
      </c>
      <c r="F70" s="29" t="n">
        <f aca="false">AVERAGE(F3:F69)</f>
        <v>1.59833333333333</v>
      </c>
      <c r="G70" s="29" t="n">
        <f aca="false">AVERAGE(G3:G69)</f>
        <v>1.26666666666667</v>
      </c>
      <c r="H70" s="29" t="n">
        <f aca="false">AVERAGE(H3:H69)</f>
        <v>1.525</v>
      </c>
      <c r="I70" s="29" t="n">
        <f aca="false">AVERAGE(I3:I69)</f>
        <v>5.645</v>
      </c>
    </row>
    <row r="71" customFormat="false" ht="12.8" hidden="false" customHeight="false" outlineLevel="0" collapsed="false">
      <c r="B71" s="0" t="s">
        <v>45</v>
      </c>
      <c r="E71" s="24" t="n">
        <f aca="false">SUM(E3:E69)</f>
        <v>75.3</v>
      </c>
      <c r="F71" s="24" t="n">
        <f aca="false">SUM(F3:F69)</f>
        <v>95.9</v>
      </c>
      <c r="G71" s="24" t="n">
        <f aca="false">SUM(G3:G69)</f>
        <v>76</v>
      </c>
      <c r="H71" s="24" t="n">
        <f aca="false">SUM(H3:H69)</f>
        <v>91.5</v>
      </c>
      <c r="I71" s="24" t="n">
        <f aca="false">SUM(I3:I69)</f>
        <v>338.7</v>
      </c>
    </row>
    <row r="72" customFormat="false" ht="12.8" hidden="false" customHeight="false" outlineLevel="0" collapsed="false">
      <c r="B72" s="0" t="s">
        <v>46</v>
      </c>
      <c r="E72" s="24" t="n">
        <f aca="false">E71/E70</f>
        <v>60</v>
      </c>
      <c r="F72" s="24" t="n">
        <f aca="false">F71/F70</f>
        <v>60</v>
      </c>
      <c r="G72" s="24" t="n">
        <f aca="false">G71/G70</f>
        <v>60</v>
      </c>
      <c r="H72" s="24" t="n">
        <f aca="false">H71/H70</f>
        <v>60</v>
      </c>
      <c r="I72" s="24" t="n">
        <f aca="false">I71/I70</f>
        <v>60</v>
      </c>
    </row>
    <row r="73" customFormat="false" ht="12.8" hidden="false" customHeight="false" outlineLevel="0" collapsed="false">
      <c r="B73" s="0" t="s">
        <v>47</v>
      </c>
      <c r="E73" s="29" t="n">
        <f aca="false">STDEV(E3:E69)</f>
        <v>0.912702264557733</v>
      </c>
      <c r="F73" s="29" t="n">
        <f aca="false">STDEV(F3:F69)</f>
        <v>0.810417692402006</v>
      </c>
      <c r="G73" s="29" t="n">
        <f aca="false">STDEV(G3:G69)</f>
        <v>0.9806028354558</v>
      </c>
      <c r="H73" s="29" t="n">
        <f aca="false">STDEV(H3:H69)</f>
        <v>0.872872716758301</v>
      </c>
      <c r="I73" s="29" t="n">
        <f aca="false">STDEV(I3:I69)</f>
        <v>2.85493477024833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3"/>
  <sheetViews>
    <sheetView showFormulas="false" showGridLines="true" showRowColHeaders="true" showZeros="true" rightToLeft="false" tabSelected="false" showOutlineSymbols="true" defaultGridColor="true" view="normal" topLeftCell="A53" colorId="64" zoomScale="110" zoomScaleNormal="110" zoomScalePageLayoutView="100" workbookViewId="0">
      <selection pane="topLeft" activeCell="F65" activeCellId="0" sqref="F65"/>
    </sheetView>
  </sheetViews>
  <sheetFormatPr defaultRowHeight="12.8" zeroHeight="false" outlineLevelRow="0" outlineLevelCol="0"/>
  <cols>
    <col collapsed="false" customWidth="true" hidden="false" outlineLevel="0" max="1" min="1" style="0" width="6.81"/>
    <col collapsed="false" customWidth="true" hidden="false" outlineLevel="0" max="2" min="2" style="0" width="32.46"/>
    <col collapsed="false" customWidth="true" hidden="false" outlineLevel="0" max="3" min="3" style="24" width="4.29"/>
    <col collapsed="false" customWidth="true" hidden="false" outlineLevel="0" max="4" min="4" style="24" width="4.42"/>
    <col collapsed="false" customWidth="false" hidden="false" outlineLevel="0" max="9" min="5" style="24" width="11.52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A1" s="25"/>
      <c r="B1" s="25" t="s">
        <v>3</v>
      </c>
      <c r="C1" s="25"/>
      <c r="D1" s="25"/>
    </row>
    <row r="2" s="26" customFormat="true" ht="12.8" hidden="false" customHeight="false" outlineLevel="0" collapsed="false">
      <c r="A2" s="25" t="s">
        <v>16</v>
      </c>
      <c r="B2" s="25" t="s">
        <v>17</v>
      </c>
      <c r="C2" s="25" t="s">
        <v>37</v>
      </c>
      <c r="D2" s="25" t="s">
        <v>38</v>
      </c>
      <c r="E2" s="25" t="s">
        <v>39</v>
      </c>
      <c r="F2" s="25" t="s">
        <v>40</v>
      </c>
      <c r="G2" s="25" t="s">
        <v>41</v>
      </c>
      <c r="H2" s="25" t="s">
        <v>42</v>
      </c>
      <c r="I2" s="25" t="s">
        <v>43</v>
      </c>
    </row>
    <row r="3" customFormat="false" ht="12.8" hidden="false" customHeight="false" outlineLevel="0" collapsed="false">
      <c r="A3" s="27" t="n">
        <f aca="false">MC346A!A3</f>
        <v>101487</v>
      </c>
      <c r="B3" s="27" t="str">
        <f aca="false">MC346A!B3</f>
        <v>André Guaraldo</v>
      </c>
      <c r="C3" s="28" t="n">
        <f aca="false">MC346A!C3</f>
        <v>42</v>
      </c>
      <c r="D3" s="28" t="str">
        <f aca="false">MC346A!D3</f>
        <v>G</v>
      </c>
      <c r="E3" s="20"/>
      <c r="F3" s="20"/>
      <c r="G3" s="20"/>
      <c r="H3" s="20"/>
      <c r="I3" s="20"/>
    </row>
    <row r="4" customFormat="false" ht="12.8" hidden="false" customHeight="false" outlineLevel="0" collapsed="false">
      <c r="A4" s="27" t="n">
        <f aca="false">MC346A!A4</f>
        <v>116134</v>
      </c>
      <c r="B4" s="27" t="str">
        <f aca="false">MC346A!B4</f>
        <v>André Seiji Tamanaha</v>
      </c>
      <c r="C4" s="28" t="n">
        <f aca="false">MC346A!C4</f>
        <v>34</v>
      </c>
      <c r="D4" s="28" t="str">
        <f aca="false">MC346A!D4</f>
        <v>G</v>
      </c>
      <c r="E4" s="20"/>
      <c r="F4" s="20"/>
      <c r="G4" s="20"/>
      <c r="H4" s="20"/>
      <c r="I4" s="20"/>
    </row>
    <row r="5" customFormat="false" ht="12.8" hidden="false" customHeight="false" outlineLevel="0" collapsed="false">
      <c r="A5" s="27" t="n">
        <f aca="false">MC346A!A5</f>
        <v>117079</v>
      </c>
      <c r="B5" s="27" t="str">
        <f aca="false">MC346A!B5</f>
        <v>Guilherme Bighetti Platzeck</v>
      </c>
      <c r="C5" s="28" t="n">
        <f aca="false">MC346A!C5</f>
        <v>42</v>
      </c>
      <c r="D5" s="28" t="str">
        <f aca="false">MC346A!D5</f>
        <v>G</v>
      </c>
      <c r="E5" s="20" t="n">
        <v>0.7</v>
      </c>
      <c r="F5" s="20" t="n">
        <v>2</v>
      </c>
      <c r="G5" s="20" t="n">
        <v>2.5</v>
      </c>
      <c r="H5" s="20" t="n">
        <v>0.5</v>
      </c>
      <c r="I5" s="20" t="n">
        <f aca="false">SUM(E5:H5)</f>
        <v>5.7</v>
      </c>
    </row>
    <row r="6" customFormat="false" ht="12.8" hidden="false" customHeight="false" outlineLevel="0" collapsed="false">
      <c r="A6" s="27" t="n">
        <f aca="false">MC346A!A6</f>
        <v>118363</v>
      </c>
      <c r="B6" s="27" t="str">
        <f aca="false">MC346A!B6</f>
        <v>Pedro Gabriel Calixto Mendonça</v>
      </c>
      <c r="C6" s="28" t="n">
        <f aca="false">MC346A!C6</f>
        <v>34</v>
      </c>
      <c r="D6" s="28" t="str">
        <f aca="false">MC346A!D6</f>
        <v>G</v>
      </c>
      <c r="E6" s="20" t="n">
        <v>0.5</v>
      </c>
      <c r="F6" s="20" t="n">
        <v>2.5</v>
      </c>
      <c r="G6" s="20" t="n">
        <v>2</v>
      </c>
      <c r="H6" s="20" t="n">
        <v>1.4</v>
      </c>
      <c r="I6" s="20" t="n">
        <f aca="false">SUM(E6:H6)</f>
        <v>6.4</v>
      </c>
    </row>
    <row r="7" customFormat="false" ht="12.8" hidden="false" customHeight="false" outlineLevel="0" collapsed="false">
      <c r="A7" s="27" t="n">
        <f aca="false">MC346A!A7</f>
        <v>118827</v>
      </c>
      <c r="B7" s="27" t="str">
        <f aca="false">MC346A!B7</f>
        <v>Tiago Lobato Gimenes</v>
      </c>
      <c r="C7" s="28" t="n">
        <f aca="false">MC346A!C7</f>
        <v>34</v>
      </c>
      <c r="D7" s="28" t="str">
        <f aca="false">MC346A!D7</f>
        <v>G</v>
      </c>
      <c r="E7" s="20" t="n">
        <v>2</v>
      </c>
      <c r="F7" s="20" t="n">
        <v>2.5</v>
      </c>
      <c r="G7" s="20" t="n">
        <v>2</v>
      </c>
      <c r="H7" s="20" t="n">
        <v>2.4</v>
      </c>
      <c r="I7" s="20" t="n">
        <f aca="false">SUM(E7:H7)</f>
        <v>8.9</v>
      </c>
    </row>
    <row r="8" customFormat="false" ht="12.8" hidden="false" customHeight="false" outlineLevel="0" collapsed="false">
      <c r="A8" s="27" t="n">
        <f aca="false">MC346A!A8</f>
        <v>119494</v>
      </c>
      <c r="B8" s="27" t="str">
        <f aca="false">MC346A!B8</f>
        <v>Guilherme Costa Zanelato</v>
      </c>
      <c r="C8" s="28" t="n">
        <f aca="false">MC346A!C8</f>
        <v>34</v>
      </c>
      <c r="D8" s="28" t="str">
        <f aca="false">MC346A!D8</f>
        <v>G</v>
      </c>
      <c r="E8" s="20"/>
      <c r="F8" s="20"/>
      <c r="G8" s="20"/>
      <c r="H8" s="20"/>
      <c r="I8" s="20"/>
    </row>
    <row r="9" customFormat="false" ht="12.8" hidden="false" customHeight="false" outlineLevel="0" collapsed="false">
      <c r="A9" s="27" t="n">
        <f aca="false">MC346A!A9</f>
        <v>119637</v>
      </c>
      <c r="B9" s="27" t="str">
        <f aca="false">MC346A!B9</f>
        <v>João Víctor Chencci Marques</v>
      </c>
      <c r="C9" s="28" t="n">
        <f aca="false">MC346A!C9</f>
        <v>42</v>
      </c>
      <c r="D9" s="28" t="str">
        <f aca="false">MC346A!D9</f>
        <v>G</v>
      </c>
      <c r="E9" s="20"/>
      <c r="F9" s="20"/>
      <c r="G9" s="20"/>
      <c r="H9" s="20"/>
      <c r="I9" s="20"/>
    </row>
    <row r="10" customFormat="false" ht="12.8" hidden="false" customHeight="false" outlineLevel="0" collapsed="false">
      <c r="A10" s="27" t="n">
        <f aca="false">MC346A!A10</f>
        <v>135680</v>
      </c>
      <c r="B10" s="27" t="str">
        <f aca="false">MC346A!B10</f>
        <v>Fellipe Santiago Scarpa Caetano</v>
      </c>
      <c r="C10" s="28" t="n">
        <f aca="false">MC346A!C10</f>
        <v>42</v>
      </c>
      <c r="D10" s="28" t="str">
        <f aca="false">MC346A!D10</f>
        <v>G</v>
      </c>
      <c r="E10" s="20" t="n">
        <v>2</v>
      </c>
      <c r="F10" s="20" t="n">
        <v>2.5</v>
      </c>
      <c r="G10" s="20" t="n">
        <v>2.5</v>
      </c>
      <c r="H10" s="20" t="n">
        <v>1</v>
      </c>
      <c r="I10" s="20" t="n">
        <f aca="false">SUM(E10:H10)</f>
        <v>8</v>
      </c>
    </row>
    <row r="11" customFormat="false" ht="12.8" hidden="false" customHeight="false" outlineLevel="0" collapsed="false">
      <c r="A11" s="27" t="n">
        <f aca="false">MC346A!A11</f>
        <v>135986</v>
      </c>
      <c r="B11" s="27" t="str">
        <f aca="false">MC346A!B11</f>
        <v>Guilherme Santos Pereira</v>
      </c>
      <c r="C11" s="28" t="n">
        <f aca="false">MC346A!C11</f>
        <v>42</v>
      </c>
      <c r="D11" s="28" t="str">
        <f aca="false">MC346A!D11</f>
        <v>G</v>
      </c>
      <c r="E11" s="20" t="n">
        <v>1.3</v>
      </c>
      <c r="F11" s="20" t="n">
        <v>0.5</v>
      </c>
      <c r="G11" s="20" t="n">
        <v>0</v>
      </c>
      <c r="H11" s="20" t="n">
        <v>0</v>
      </c>
      <c r="I11" s="20" t="n">
        <f aca="false">SUM(E11:H11)</f>
        <v>1.8</v>
      </c>
    </row>
    <row r="12" customFormat="false" ht="12.8" hidden="false" customHeight="false" outlineLevel="0" collapsed="false">
      <c r="A12" s="27" t="n">
        <f aca="false">MC346A!A12</f>
        <v>136454</v>
      </c>
      <c r="B12" s="27" t="str">
        <f aca="false">MC346A!B12</f>
        <v>Larissa Dominique Garcia</v>
      </c>
      <c r="C12" s="28" t="n">
        <f aca="false">MC346A!C12</f>
        <v>42</v>
      </c>
      <c r="D12" s="28" t="str">
        <f aca="false">MC346A!D12</f>
        <v>G</v>
      </c>
      <c r="E12" s="20"/>
      <c r="F12" s="20"/>
      <c r="G12" s="20"/>
      <c r="H12" s="20"/>
      <c r="I12" s="20"/>
    </row>
    <row r="13" customFormat="false" ht="12.8" hidden="false" customHeight="false" outlineLevel="0" collapsed="false">
      <c r="A13" s="27" t="n">
        <f aca="false">MC346A!A13</f>
        <v>137733</v>
      </c>
      <c r="B13" s="27" t="str">
        <f aca="false">MC346A!B13</f>
        <v>Tiago Bento Fernandes</v>
      </c>
      <c r="C13" s="28" t="n">
        <f aca="false">MC346A!C13</f>
        <v>42</v>
      </c>
      <c r="D13" s="28" t="str">
        <f aca="false">MC346A!D13</f>
        <v>G</v>
      </c>
      <c r="E13" s="20" t="n">
        <v>0.5</v>
      </c>
      <c r="F13" s="20" t="n">
        <v>2</v>
      </c>
      <c r="G13" s="20" t="n">
        <v>2.5</v>
      </c>
      <c r="H13" s="20" t="n">
        <v>1.1</v>
      </c>
      <c r="I13" s="20" t="n">
        <f aca="false">SUM(E13:H13)</f>
        <v>6.1</v>
      </c>
    </row>
    <row r="14" customFormat="false" ht="12.8" hidden="false" customHeight="false" outlineLevel="0" collapsed="false">
      <c r="A14" s="27" t="n">
        <f aca="false">MC346A!A14</f>
        <v>138745</v>
      </c>
      <c r="B14" s="27" t="str">
        <f aca="false">MC346A!B14</f>
        <v>Lucas Piscello Cosme</v>
      </c>
      <c r="C14" s="28" t="n">
        <f aca="false">MC346A!C14</f>
        <v>42</v>
      </c>
      <c r="D14" s="28" t="str">
        <f aca="false">MC346A!D14</f>
        <v>G</v>
      </c>
      <c r="E14" s="20" t="n">
        <v>1.5</v>
      </c>
      <c r="F14" s="20" t="n">
        <v>2.5</v>
      </c>
      <c r="G14" s="20" t="n">
        <v>2</v>
      </c>
      <c r="H14" s="20" t="n">
        <v>0</v>
      </c>
      <c r="I14" s="20" t="n">
        <f aca="false">SUM(E14:H14)</f>
        <v>6</v>
      </c>
    </row>
    <row r="15" customFormat="false" ht="12.8" hidden="false" customHeight="false" outlineLevel="0" collapsed="false">
      <c r="A15" s="27" t="n">
        <f aca="false">MC346A!A15</f>
        <v>138771</v>
      </c>
      <c r="B15" s="27" t="str">
        <f aca="false">MC346A!B15</f>
        <v>Luiz Antonio Andia</v>
      </c>
      <c r="C15" s="28" t="n">
        <f aca="false">MC346A!C15</f>
        <v>42</v>
      </c>
      <c r="D15" s="28" t="str">
        <f aca="false">MC346A!D15</f>
        <v>G</v>
      </c>
      <c r="E15" s="20" t="n">
        <v>0.5</v>
      </c>
      <c r="F15" s="20" t="n">
        <v>1.5</v>
      </c>
      <c r="G15" s="20" t="n">
        <v>0</v>
      </c>
      <c r="H15" s="20" t="n">
        <v>0.5</v>
      </c>
      <c r="I15" s="20" t="n">
        <f aca="false">SUM(E15:H15)</f>
        <v>2.5</v>
      </c>
    </row>
    <row r="16" customFormat="false" ht="12.8" hidden="false" customHeight="false" outlineLevel="0" collapsed="false">
      <c r="A16" s="27" t="n">
        <f aca="false">MC346A!A16</f>
        <v>145510</v>
      </c>
      <c r="B16" s="27" t="str">
        <f aca="false">MC346A!B16</f>
        <v>Bruno Eiji Okano Yoshida</v>
      </c>
      <c r="C16" s="28" t="n">
        <f aca="false">MC346A!C16</f>
        <v>49</v>
      </c>
      <c r="D16" s="28" t="str">
        <f aca="false">MC346A!D16</f>
        <v>G</v>
      </c>
      <c r="E16" s="20"/>
      <c r="F16" s="20"/>
      <c r="G16" s="20"/>
      <c r="H16" s="20"/>
      <c r="I16" s="20"/>
    </row>
    <row r="17" customFormat="false" ht="12.8" hidden="false" customHeight="false" outlineLevel="0" collapsed="false">
      <c r="A17" s="27" t="n">
        <f aca="false">MC346A!A17</f>
        <v>145552</v>
      </c>
      <c r="B17" s="27" t="str">
        <f aca="false">MC346A!B17</f>
        <v>Caio Cerruti Gonçalves</v>
      </c>
      <c r="C17" s="28" t="n">
        <f aca="false">MC346A!C17</f>
        <v>42</v>
      </c>
      <c r="D17" s="28" t="str">
        <f aca="false">MC346A!D17</f>
        <v>G</v>
      </c>
      <c r="E17" s="20" t="n">
        <v>1.8</v>
      </c>
      <c r="F17" s="20" t="n">
        <v>2</v>
      </c>
      <c r="G17" s="20" t="n">
        <v>0</v>
      </c>
      <c r="H17" s="20" t="n">
        <v>0.5</v>
      </c>
      <c r="I17" s="20" t="n">
        <f aca="false">SUM(E17:H17)</f>
        <v>4.3</v>
      </c>
    </row>
    <row r="18" customFormat="false" ht="12.8" hidden="false" customHeight="false" outlineLevel="0" collapsed="false">
      <c r="A18" s="27" t="n">
        <f aca="false">MC346A!A18</f>
        <v>145763</v>
      </c>
      <c r="B18" s="27" t="str">
        <f aca="false">MC346A!B18</f>
        <v>Daniel dos Santos Pedroso</v>
      </c>
      <c r="C18" s="28" t="n">
        <f aca="false">MC346A!C18</f>
        <v>49</v>
      </c>
      <c r="D18" s="28" t="str">
        <f aca="false">MC346A!D18</f>
        <v>G</v>
      </c>
      <c r="E18" s="20"/>
      <c r="F18" s="20"/>
      <c r="G18" s="20"/>
      <c r="H18" s="20"/>
      <c r="I18" s="20"/>
    </row>
    <row r="19" customFormat="false" ht="12.8" hidden="false" customHeight="false" outlineLevel="0" collapsed="false">
      <c r="A19" s="27" t="n">
        <f aca="false">MC346A!A19</f>
        <v>146040</v>
      </c>
      <c r="B19" s="27" t="str">
        <f aca="false">MC346A!B19</f>
        <v>Felipe Soares Pires de Carvalho</v>
      </c>
      <c r="C19" s="28" t="n">
        <f aca="false">MC346A!C19</f>
        <v>42</v>
      </c>
      <c r="D19" s="28" t="str">
        <f aca="false">MC346A!D19</f>
        <v>G</v>
      </c>
      <c r="E19" s="20" t="n">
        <v>1</v>
      </c>
      <c r="F19" s="20" t="n">
        <v>1</v>
      </c>
      <c r="G19" s="20" t="n">
        <v>2</v>
      </c>
      <c r="H19" s="20" t="n">
        <v>0.5</v>
      </c>
      <c r="I19" s="20" t="n">
        <f aca="false">SUM(E19:H19)</f>
        <v>4.5</v>
      </c>
    </row>
    <row r="20" customFormat="false" ht="12.8" hidden="false" customHeight="false" outlineLevel="0" collapsed="false">
      <c r="A20" s="27" t="n">
        <f aca="false">MC346A!A20</f>
        <v>146098</v>
      </c>
      <c r="B20" s="27" t="str">
        <f aca="false">MC346A!B20</f>
        <v>Flavio Matheus Muniz Ribeiro da Silva</v>
      </c>
      <c r="C20" s="28" t="n">
        <f aca="false">MC346A!C20</f>
        <v>34</v>
      </c>
      <c r="D20" s="28" t="str">
        <f aca="false">MC346A!D20</f>
        <v>G</v>
      </c>
      <c r="E20" s="20" t="n">
        <v>1.4</v>
      </c>
      <c r="F20" s="20" t="n">
        <v>2.5</v>
      </c>
      <c r="G20" s="20" t="n">
        <v>1.5</v>
      </c>
      <c r="H20" s="20" t="n">
        <v>0.5</v>
      </c>
      <c r="I20" s="20" t="n">
        <f aca="false">SUM(E20:H20)</f>
        <v>5.9</v>
      </c>
    </row>
    <row r="21" customFormat="false" ht="12.8" hidden="false" customHeight="false" outlineLevel="0" collapsed="false">
      <c r="A21" s="27" t="n">
        <f aca="false">MC346A!A21</f>
        <v>146310</v>
      </c>
      <c r="B21" s="27" t="str">
        <f aca="false">MC346A!B21</f>
        <v>Guilherme Pereira Gribeler</v>
      </c>
      <c r="C21" s="28" t="n">
        <f aca="false">MC346A!C21</f>
        <v>34</v>
      </c>
      <c r="D21" s="28" t="str">
        <f aca="false">MC346A!D21</f>
        <v>G</v>
      </c>
      <c r="E21" s="20" t="n">
        <v>1</v>
      </c>
      <c r="F21" s="20" t="n">
        <v>2</v>
      </c>
      <c r="G21" s="20" t="n">
        <v>2</v>
      </c>
      <c r="H21" s="20" t="n">
        <v>0</v>
      </c>
      <c r="I21" s="20" t="n">
        <f aca="false">SUM(E21:H21)</f>
        <v>5</v>
      </c>
    </row>
    <row r="22" customFormat="false" ht="12.8" hidden="false" customHeight="false" outlineLevel="0" collapsed="false">
      <c r="A22" s="27" t="n">
        <f aca="false">MC346A!A22</f>
        <v>146318</v>
      </c>
      <c r="B22" s="27" t="str">
        <f aca="false">MC346A!B22</f>
        <v>Guilherme Rodrigues Bueno</v>
      </c>
      <c r="C22" s="28" t="n">
        <f aca="false">MC346A!C22</f>
        <v>42</v>
      </c>
      <c r="D22" s="28" t="str">
        <f aca="false">MC346A!D22</f>
        <v>G</v>
      </c>
      <c r="E22" s="20" t="n">
        <v>0.5</v>
      </c>
      <c r="F22" s="20" t="n">
        <v>1.5</v>
      </c>
      <c r="G22" s="20" t="n">
        <v>0.5</v>
      </c>
      <c r="H22" s="20" t="n">
        <v>0.5</v>
      </c>
      <c r="I22" s="20" t="n">
        <f aca="false">SUM(E22:H22)</f>
        <v>3</v>
      </c>
    </row>
    <row r="23" customFormat="false" ht="12.8" hidden="false" customHeight="false" outlineLevel="0" collapsed="false">
      <c r="A23" s="27" t="n">
        <f aca="false">MC346A!A23</f>
        <v>146383</v>
      </c>
      <c r="B23" s="27" t="str">
        <f aca="false">MC346A!B23</f>
        <v>Heitor Banhete Raymundo</v>
      </c>
      <c r="C23" s="28" t="n">
        <f aca="false">MC346A!C23</f>
        <v>42</v>
      </c>
      <c r="D23" s="28" t="str">
        <f aca="false">MC346A!D23</f>
        <v>G</v>
      </c>
      <c r="E23" s="20"/>
      <c r="F23" s="20"/>
      <c r="G23" s="20"/>
      <c r="H23" s="20"/>
      <c r="I23" s="20"/>
    </row>
    <row r="24" customFormat="false" ht="12.8" hidden="false" customHeight="false" outlineLevel="0" collapsed="false">
      <c r="A24" s="27" t="n">
        <f aca="false">MC346A!A24</f>
        <v>146752</v>
      </c>
      <c r="B24" s="27" t="str">
        <f aca="false">MC346A!B24</f>
        <v>Julio Barros de Paula</v>
      </c>
      <c r="C24" s="28" t="n">
        <f aca="false">MC346A!C24</f>
        <v>42</v>
      </c>
      <c r="D24" s="28" t="str">
        <f aca="false">MC346A!D24</f>
        <v>G</v>
      </c>
      <c r="E24" s="20" t="n">
        <v>0.6</v>
      </c>
      <c r="F24" s="20" t="n">
        <v>2.5</v>
      </c>
      <c r="G24" s="20" t="n">
        <v>1.5</v>
      </c>
      <c r="H24" s="20" t="n">
        <v>0</v>
      </c>
      <c r="I24" s="20" t="n">
        <f aca="false">SUM(E24:H24)</f>
        <v>4.6</v>
      </c>
    </row>
    <row r="25" customFormat="false" ht="12.8" hidden="false" customHeight="false" outlineLevel="0" collapsed="false">
      <c r="A25" s="27" t="n">
        <f aca="false">MC346A!A25</f>
        <v>147338</v>
      </c>
      <c r="B25" s="27" t="str">
        <f aca="false">MC346A!B25</f>
        <v>Mateus Augusto Bellomo Agrello Ruivo</v>
      </c>
      <c r="C25" s="28" t="n">
        <f aca="false">MC346A!C25</f>
        <v>42</v>
      </c>
      <c r="D25" s="28" t="str">
        <f aca="false">MC346A!D25</f>
        <v>G</v>
      </c>
      <c r="E25" s="20" t="n">
        <v>2.4</v>
      </c>
      <c r="F25" s="20" t="n">
        <v>2.5</v>
      </c>
      <c r="G25" s="20" t="n">
        <v>1</v>
      </c>
      <c r="H25" s="20" t="n">
        <v>0.5</v>
      </c>
      <c r="I25" s="20" t="n">
        <f aca="false">SUM(E25:H25)</f>
        <v>6.4</v>
      </c>
    </row>
    <row r="26" customFormat="false" ht="12.8" hidden="false" customHeight="false" outlineLevel="0" collapsed="false">
      <c r="A26" s="27" t="n">
        <f aca="false">MC346A!A26</f>
        <v>148246</v>
      </c>
      <c r="B26" s="27" t="str">
        <f aca="false">MC346A!B26</f>
        <v>Wilson Novais Martins</v>
      </c>
      <c r="C26" s="28" t="n">
        <f aca="false">MC346A!C26</f>
        <v>42</v>
      </c>
      <c r="D26" s="28" t="str">
        <f aca="false">MC346A!D26</f>
        <v>G</v>
      </c>
      <c r="E26" s="20" t="n">
        <v>1.5</v>
      </c>
      <c r="F26" s="20" t="n">
        <v>2.5</v>
      </c>
      <c r="G26" s="20" t="n">
        <v>0</v>
      </c>
      <c r="H26" s="20" t="n">
        <v>1.5</v>
      </c>
      <c r="I26" s="20" t="n">
        <f aca="false">SUM(E26:H26)</f>
        <v>5.5</v>
      </c>
    </row>
    <row r="27" customFormat="false" ht="12.8" hidden="false" customHeight="false" outlineLevel="0" collapsed="false">
      <c r="A27" s="27" t="n">
        <f aca="false">MC346A!A27</f>
        <v>148387</v>
      </c>
      <c r="B27" s="27" t="str">
        <f aca="false">MC346A!B27</f>
        <v>Bruno Masetto Sander</v>
      </c>
      <c r="C27" s="28" t="n">
        <f aca="false">MC346A!C27</f>
        <v>42</v>
      </c>
      <c r="D27" s="28" t="str">
        <f aca="false">MC346A!D27</f>
        <v>G</v>
      </c>
      <c r="E27" s="20"/>
      <c r="F27" s="20"/>
      <c r="G27" s="20"/>
      <c r="H27" s="20"/>
      <c r="I27" s="20"/>
    </row>
    <row r="28" customFormat="false" ht="12.8" hidden="false" customHeight="false" outlineLevel="0" collapsed="false">
      <c r="A28" s="27" t="n">
        <f aca="false">MC346A!A28</f>
        <v>149014</v>
      </c>
      <c r="B28" s="27" t="str">
        <f aca="false">MC346A!B28</f>
        <v>Tiago Abreu Munarolo</v>
      </c>
      <c r="C28" s="28" t="n">
        <f aca="false">MC346A!C28</f>
        <v>34</v>
      </c>
      <c r="D28" s="28" t="str">
        <f aca="false">MC346A!D28</f>
        <v>G</v>
      </c>
      <c r="E28" s="20"/>
      <c r="F28" s="20"/>
      <c r="G28" s="20"/>
      <c r="H28" s="20"/>
      <c r="I28" s="20"/>
    </row>
    <row r="29" customFormat="false" ht="12.8" hidden="false" customHeight="false" outlineLevel="0" collapsed="false">
      <c r="A29" s="27" t="n">
        <f aca="false">MC346A!A29</f>
        <v>150604</v>
      </c>
      <c r="B29" s="27" t="str">
        <f aca="false">MC346A!B29</f>
        <v>Denis de Almeida Oliveira</v>
      </c>
      <c r="C29" s="28" t="n">
        <f aca="false">MC346A!C29</f>
        <v>42</v>
      </c>
      <c r="D29" s="28" t="str">
        <f aca="false">MC346A!D29</f>
        <v>G</v>
      </c>
      <c r="E29" s="20" t="n">
        <v>1.5</v>
      </c>
      <c r="F29" s="20" t="n">
        <v>2</v>
      </c>
      <c r="G29" s="20" t="n">
        <v>1</v>
      </c>
      <c r="H29" s="20" t="n">
        <v>0.5</v>
      </c>
      <c r="I29" s="20" t="n">
        <f aca="false">SUM(E29:H29)</f>
        <v>5</v>
      </c>
    </row>
    <row r="30" customFormat="false" ht="12.8" hidden="false" customHeight="false" outlineLevel="0" collapsed="false">
      <c r="A30" s="27" t="n">
        <f aca="false">MC346A!A30</f>
        <v>150630</v>
      </c>
      <c r="B30" s="27" t="str">
        <f aca="false">MC346A!B30</f>
        <v>Gabriel Otero</v>
      </c>
      <c r="C30" s="28" t="n">
        <f aca="false">MC346A!C30</f>
        <v>42</v>
      </c>
      <c r="D30" s="28" t="str">
        <f aca="false">MC346A!D30</f>
        <v>G</v>
      </c>
      <c r="E30" s="20" t="n">
        <v>0.4</v>
      </c>
      <c r="F30" s="20" t="n">
        <v>2.5</v>
      </c>
      <c r="G30" s="20" t="n">
        <v>0.5</v>
      </c>
      <c r="H30" s="20" t="n">
        <v>0</v>
      </c>
      <c r="I30" s="20" t="n">
        <f aca="false">SUM(E30:H30)</f>
        <v>3.4</v>
      </c>
    </row>
    <row r="31" customFormat="false" ht="12.8" hidden="false" customHeight="false" outlineLevel="0" collapsed="false">
      <c r="A31" s="27" t="n">
        <f aca="false">MC346A!A31</f>
        <v>155299</v>
      </c>
      <c r="B31" s="27" t="str">
        <f aca="false">MC346A!B31</f>
        <v>Felipe dal Mas Eulalio</v>
      </c>
      <c r="C31" s="28" t="n">
        <f aca="false">MC346A!C31</f>
        <v>42</v>
      </c>
      <c r="D31" s="28" t="str">
        <f aca="false">MC346A!D31</f>
        <v>G</v>
      </c>
      <c r="E31" s="20" t="n">
        <v>0.5</v>
      </c>
      <c r="F31" s="20" t="n">
        <v>2</v>
      </c>
      <c r="G31" s="20" t="n">
        <v>2</v>
      </c>
      <c r="H31" s="20" t="n">
        <v>0.5</v>
      </c>
      <c r="I31" s="20" t="n">
        <f aca="false">SUM(E31:H31)</f>
        <v>5</v>
      </c>
    </row>
    <row r="32" customFormat="false" ht="12.8" hidden="false" customHeight="false" outlineLevel="0" collapsed="false">
      <c r="A32" s="27" t="n">
        <f aca="false">MC346A!A32</f>
        <v>155646</v>
      </c>
      <c r="B32" s="27" t="str">
        <f aca="false">MC346A!B32</f>
        <v>Gunter Mingato de Oliveira</v>
      </c>
      <c r="C32" s="28" t="n">
        <f aca="false">MC346A!C32</f>
        <v>34</v>
      </c>
      <c r="D32" s="28" t="str">
        <f aca="false">MC346A!D32</f>
        <v>G</v>
      </c>
      <c r="E32" s="20" t="n">
        <v>0.5</v>
      </c>
      <c r="F32" s="20" t="n">
        <v>0</v>
      </c>
      <c r="G32" s="20" t="n">
        <v>0</v>
      </c>
      <c r="H32" s="20" t="n">
        <v>0.5</v>
      </c>
      <c r="I32" s="20" t="n">
        <f aca="false">SUM(E32:H32)</f>
        <v>1</v>
      </c>
    </row>
    <row r="33" customFormat="false" ht="12.8" hidden="false" customHeight="false" outlineLevel="0" collapsed="false">
      <c r="A33" s="27" t="n">
        <f aca="false">MC346A!A33</f>
        <v>155943</v>
      </c>
      <c r="B33" s="27" t="str">
        <f aca="false">MC346A!B33</f>
        <v>João Víctor Brazileu Spuri</v>
      </c>
      <c r="C33" s="28" t="n">
        <f aca="false">MC346A!C33</f>
        <v>42</v>
      </c>
      <c r="D33" s="28" t="str">
        <f aca="false">MC346A!D33</f>
        <v>G</v>
      </c>
      <c r="E33" s="20" t="n">
        <v>2</v>
      </c>
      <c r="F33" s="20" t="n">
        <v>2</v>
      </c>
      <c r="G33" s="20" t="n">
        <v>1.5</v>
      </c>
      <c r="H33" s="20" t="n">
        <v>0.5</v>
      </c>
      <c r="I33" s="20" t="n">
        <f aca="false">SUM(E33:H33)</f>
        <v>6</v>
      </c>
    </row>
    <row r="34" customFormat="false" ht="12.8" hidden="false" customHeight="false" outlineLevel="0" collapsed="false">
      <c r="A34" s="27" t="n">
        <f aca="false">MC346A!A34</f>
        <v>155976</v>
      </c>
      <c r="B34" s="27" t="str">
        <f aca="false">MC346A!B34</f>
        <v>Jose Henrique Ferreira Pinto</v>
      </c>
      <c r="C34" s="28" t="n">
        <f aca="false">MC346A!C34</f>
        <v>42</v>
      </c>
      <c r="D34" s="28" t="str">
        <f aca="false">MC346A!D34</f>
        <v>G</v>
      </c>
      <c r="E34" s="20" t="n">
        <v>0</v>
      </c>
      <c r="F34" s="20" t="n">
        <v>1</v>
      </c>
      <c r="G34" s="20" t="n">
        <v>0.5</v>
      </c>
      <c r="H34" s="20" t="n">
        <v>0.5</v>
      </c>
      <c r="I34" s="20" t="n">
        <f aca="false">SUM(E34:H34)</f>
        <v>2</v>
      </c>
    </row>
    <row r="35" customFormat="false" ht="12.8" hidden="false" customHeight="false" outlineLevel="0" collapsed="false">
      <c r="A35" s="27" t="n">
        <f aca="false">MC346A!A35</f>
        <v>156362</v>
      </c>
      <c r="B35" s="27" t="str">
        <f aca="false">MC346A!B35</f>
        <v>Lucas Gabriel Silverio de Freitas</v>
      </c>
      <c r="C35" s="28" t="n">
        <f aca="false">MC346A!C35</f>
        <v>34</v>
      </c>
      <c r="D35" s="28" t="str">
        <f aca="false">MC346A!D35</f>
        <v>G</v>
      </c>
      <c r="E35" s="20"/>
      <c r="F35" s="20"/>
      <c r="G35" s="20"/>
      <c r="H35" s="20"/>
      <c r="I35" s="20"/>
    </row>
    <row r="36" customFormat="false" ht="12.8" hidden="false" customHeight="false" outlineLevel="0" collapsed="false">
      <c r="A36" s="27" t="n">
        <f aca="false">MC346A!A36</f>
        <v>156405</v>
      </c>
      <c r="B36" s="27" t="str">
        <f aca="false">MC346A!B36</f>
        <v>Lucas Rodolfo de Castro Moura</v>
      </c>
      <c r="C36" s="28" t="n">
        <f aca="false">MC346A!C36</f>
        <v>42</v>
      </c>
      <c r="D36" s="28" t="str">
        <f aca="false">MC346A!D36</f>
        <v>G</v>
      </c>
      <c r="E36" s="20"/>
      <c r="F36" s="20"/>
      <c r="G36" s="20"/>
      <c r="H36" s="20"/>
      <c r="I36" s="20"/>
    </row>
    <row r="37" customFormat="false" ht="12.8" hidden="false" customHeight="false" outlineLevel="0" collapsed="false">
      <c r="A37" s="27" t="n">
        <f aca="false">MC346A!A37</f>
        <v>158336</v>
      </c>
      <c r="B37" s="27" t="str">
        <f aca="false">MC346A!B37</f>
        <v>Pedro Gabriel Martins Ono</v>
      </c>
      <c r="C37" s="28" t="n">
        <f aca="false">MC346A!C37</f>
        <v>34</v>
      </c>
      <c r="D37" s="28" t="str">
        <f aca="false">MC346A!D37</f>
        <v>G</v>
      </c>
      <c r="E37" s="20"/>
      <c r="F37" s="20"/>
      <c r="G37" s="20"/>
      <c r="H37" s="20"/>
      <c r="I37" s="20"/>
    </row>
    <row r="38" customFormat="false" ht="12.8" hidden="false" customHeight="false" outlineLevel="0" collapsed="false">
      <c r="A38" s="27" t="n">
        <f aca="false">MC346A!A38</f>
        <v>160013</v>
      </c>
      <c r="B38" s="27" t="str">
        <f aca="false">MC346A!B38</f>
        <v>Victor Fontana Saez</v>
      </c>
      <c r="C38" s="28" t="n">
        <f aca="false">MC346A!C38</f>
        <v>34</v>
      </c>
      <c r="D38" s="28" t="str">
        <f aca="false">MC346A!D38</f>
        <v>G</v>
      </c>
      <c r="E38" s="20"/>
      <c r="F38" s="20"/>
      <c r="G38" s="20"/>
      <c r="H38" s="20"/>
      <c r="I38" s="20"/>
    </row>
    <row r="39" customFormat="false" ht="12.8" hidden="false" customHeight="false" outlineLevel="0" collapsed="false">
      <c r="A39" s="27" t="n">
        <f aca="false">MC346A!A39</f>
        <v>160160</v>
      </c>
      <c r="B39" s="27" t="str">
        <f aca="false">MC346A!B39</f>
        <v>Guilherme Furlan</v>
      </c>
      <c r="C39" s="28" t="n">
        <f aca="false">MC346A!C39</f>
        <v>42</v>
      </c>
      <c r="D39" s="28" t="str">
        <f aca="false">MC346A!D39</f>
        <v>G</v>
      </c>
      <c r="E39" s="20"/>
      <c r="F39" s="20"/>
      <c r="G39" s="20"/>
      <c r="H39" s="20"/>
      <c r="I39" s="20"/>
    </row>
    <row r="40" customFormat="false" ht="12.8" hidden="false" customHeight="false" outlineLevel="0" collapsed="false">
      <c r="A40" s="27" t="n">
        <f aca="false">MC346A!A40</f>
        <v>164213</v>
      </c>
      <c r="B40" s="27" t="str">
        <f aca="false">MC346A!B40</f>
        <v>Andreza Aparecida dos Santos</v>
      </c>
      <c r="C40" s="28" t="n">
        <f aca="false">MC346A!C40</f>
        <v>34</v>
      </c>
      <c r="D40" s="28" t="str">
        <f aca="false">MC346A!D40</f>
        <v>G</v>
      </c>
      <c r="E40" s="20" t="n">
        <v>0.5</v>
      </c>
      <c r="F40" s="20" t="n">
        <v>0.5</v>
      </c>
      <c r="G40" s="20" t="n">
        <v>0</v>
      </c>
      <c r="H40" s="20" t="n">
        <v>0.5</v>
      </c>
      <c r="I40" s="20" t="n">
        <f aca="false">SUM(E40:H40)</f>
        <v>1.5</v>
      </c>
    </row>
    <row r="41" customFormat="false" ht="12.8" hidden="false" customHeight="false" outlineLevel="0" collapsed="false">
      <c r="A41" s="27" t="n">
        <f aca="false">MC346A!A41</f>
        <v>164468</v>
      </c>
      <c r="B41" s="27" t="str">
        <f aca="false">MC346A!B41</f>
        <v>Artur Eiji Suguinoshita Aciole</v>
      </c>
      <c r="C41" s="28" t="n">
        <f aca="false">MC346A!C41</f>
        <v>42</v>
      </c>
      <c r="D41" s="28" t="str">
        <f aca="false">MC346A!D41</f>
        <v>G</v>
      </c>
      <c r="E41" s="20" t="n">
        <v>0.5</v>
      </c>
      <c r="F41" s="20" t="n">
        <v>1.5</v>
      </c>
      <c r="G41" s="20" t="n">
        <v>2</v>
      </c>
      <c r="H41" s="20" t="n">
        <v>1</v>
      </c>
      <c r="I41" s="20" t="n">
        <f aca="false">SUM(E41:H41)</f>
        <v>5</v>
      </c>
    </row>
    <row r="42" customFormat="false" ht="12.8" hidden="false" customHeight="false" outlineLevel="0" collapsed="false">
      <c r="A42" s="27" t="n">
        <f aca="false">MC346A!A42</f>
        <v>164700</v>
      </c>
      <c r="B42" s="27" t="str">
        <f aca="false">MC346A!B42</f>
        <v>Beatriz Inácio dos Santos</v>
      </c>
      <c r="C42" s="28" t="n">
        <f aca="false">MC346A!C42</f>
        <v>42</v>
      </c>
      <c r="D42" s="28" t="str">
        <f aca="false">MC346A!D42</f>
        <v>G</v>
      </c>
      <c r="E42" s="20"/>
      <c r="F42" s="20"/>
      <c r="G42" s="20"/>
      <c r="H42" s="20"/>
      <c r="I42" s="20"/>
    </row>
    <row r="43" customFormat="false" ht="12.8" hidden="false" customHeight="false" outlineLevel="0" collapsed="false">
      <c r="A43" s="27" t="n">
        <f aca="false">MC346A!A43</f>
        <v>166082</v>
      </c>
      <c r="B43" s="27" t="str">
        <f aca="false">MC346A!B43</f>
        <v>Clara Pompeu de Sousa Brasil Carneiro</v>
      </c>
      <c r="C43" s="28" t="n">
        <f aca="false">MC346A!C43</f>
        <v>34</v>
      </c>
      <c r="D43" s="28" t="str">
        <f aca="false">MC346A!D43</f>
        <v>G</v>
      </c>
      <c r="E43" s="20"/>
      <c r="F43" s="20"/>
      <c r="G43" s="20"/>
      <c r="H43" s="20"/>
      <c r="I43" s="20"/>
    </row>
    <row r="44" customFormat="false" ht="12.8" hidden="false" customHeight="false" outlineLevel="0" collapsed="false">
      <c r="A44" s="27" t="n">
        <f aca="false">MC346A!A44</f>
        <v>166213</v>
      </c>
      <c r="B44" s="27" t="str">
        <f aca="false">MC346A!B44</f>
        <v>Daniel Godoy Marques</v>
      </c>
      <c r="C44" s="28" t="n">
        <f aca="false">MC346A!C44</f>
        <v>42</v>
      </c>
      <c r="D44" s="28" t="str">
        <f aca="false">MC346A!D44</f>
        <v>G</v>
      </c>
      <c r="E44" s="20" t="n">
        <v>0.8</v>
      </c>
      <c r="F44" s="20" t="n">
        <v>1</v>
      </c>
      <c r="G44" s="20" t="n">
        <v>0</v>
      </c>
      <c r="H44" s="20" t="n">
        <v>0</v>
      </c>
      <c r="I44" s="20" t="n">
        <f aca="false">SUM(E44:H44)</f>
        <v>1.8</v>
      </c>
    </row>
    <row r="45" customFormat="false" ht="12.8" hidden="false" customHeight="false" outlineLevel="0" collapsed="false">
      <c r="A45" s="27" t="n">
        <f aca="false">MC346A!A45</f>
        <v>166249</v>
      </c>
      <c r="B45" s="27" t="str">
        <f aca="false">MC346A!B45</f>
        <v>Daniel Pereira Rodrigues</v>
      </c>
      <c r="C45" s="28" t="n">
        <f aca="false">MC346A!C45</f>
        <v>42</v>
      </c>
      <c r="D45" s="28" t="str">
        <f aca="false">MC346A!D45</f>
        <v>G</v>
      </c>
      <c r="E45" s="20" t="n">
        <v>2.5</v>
      </c>
      <c r="F45" s="20" t="n">
        <v>2.5</v>
      </c>
      <c r="G45" s="20" t="n">
        <v>1.5</v>
      </c>
      <c r="H45" s="20" t="n">
        <v>2</v>
      </c>
      <c r="I45" s="20" t="n">
        <f aca="false">SUM(E45:H45)</f>
        <v>8.5</v>
      </c>
    </row>
    <row r="46" customFormat="false" ht="12.8" hidden="false" customHeight="false" outlineLevel="0" collapsed="false">
      <c r="A46" s="27" t="n">
        <f aca="false">MC346A!A46</f>
        <v>168357</v>
      </c>
      <c r="B46" s="27" t="str">
        <f aca="false">MC346A!B46</f>
        <v>Gabriela Pereira Neri</v>
      </c>
      <c r="C46" s="28" t="n">
        <f aca="false">MC346A!C46</f>
        <v>42</v>
      </c>
      <c r="D46" s="28" t="str">
        <f aca="false">MC346A!D46</f>
        <v>G</v>
      </c>
      <c r="E46" s="20"/>
      <c r="F46" s="20"/>
      <c r="G46" s="20"/>
      <c r="H46" s="20"/>
      <c r="I46" s="20"/>
    </row>
    <row r="47" customFormat="false" ht="12.8" hidden="false" customHeight="false" outlineLevel="0" collapsed="false">
      <c r="A47" s="27" t="n">
        <f aca="false">MC346A!A47</f>
        <v>168891</v>
      </c>
      <c r="B47" s="27" t="str">
        <f aca="false">MC346A!B47</f>
        <v>Guilherme Alves Valarini</v>
      </c>
      <c r="C47" s="28" t="n">
        <f aca="false">MC346A!C47</f>
        <v>42</v>
      </c>
      <c r="D47" s="28" t="str">
        <f aca="false">MC346A!D47</f>
        <v>G</v>
      </c>
      <c r="E47" s="20" t="n">
        <v>2</v>
      </c>
      <c r="F47" s="20" t="n">
        <v>2.5</v>
      </c>
      <c r="G47" s="20" t="n">
        <v>2.5</v>
      </c>
      <c r="H47" s="20" t="n">
        <v>1.5</v>
      </c>
      <c r="I47" s="20" t="n">
        <f aca="false">SUM(E47:H47)</f>
        <v>8.5</v>
      </c>
    </row>
    <row r="48" customFormat="false" ht="12.8" hidden="false" customHeight="false" outlineLevel="0" collapsed="false">
      <c r="A48" s="27" t="n">
        <f aca="false">MC346A!A48</f>
        <v>169621</v>
      </c>
      <c r="B48" s="27" t="str">
        <f aca="false">MC346A!B48</f>
        <v>Henrique Machado Gonçalves</v>
      </c>
      <c r="C48" s="28" t="n">
        <f aca="false">MC346A!C48</f>
        <v>42</v>
      </c>
      <c r="D48" s="28" t="str">
        <f aca="false">MC346A!D48</f>
        <v>G</v>
      </c>
      <c r="E48" s="20" t="n">
        <v>0.5</v>
      </c>
      <c r="F48" s="20" t="n">
        <v>0.5</v>
      </c>
      <c r="G48" s="20" t="n">
        <v>0</v>
      </c>
      <c r="H48" s="20" t="n">
        <v>0.5</v>
      </c>
      <c r="I48" s="20" t="n">
        <f aca="false">SUM(E48:H48)</f>
        <v>1.5</v>
      </c>
    </row>
    <row r="49" customFormat="false" ht="12.8" hidden="false" customHeight="false" outlineLevel="0" collapsed="false">
      <c r="A49" s="27" t="n">
        <f aca="false">MC346A!A49</f>
        <v>169820</v>
      </c>
      <c r="B49" s="27" t="str">
        <f aca="false">MC346A!B49</f>
        <v>Igor Matheus Andrade Torrente</v>
      </c>
      <c r="C49" s="28" t="n">
        <f aca="false">MC346A!C49</f>
        <v>42</v>
      </c>
      <c r="D49" s="28" t="str">
        <f aca="false">MC346A!D49</f>
        <v>G</v>
      </c>
      <c r="E49" s="20" t="n">
        <v>1</v>
      </c>
      <c r="F49" s="20" t="n">
        <v>2</v>
      </c>
      <c r="G49" s="20" t="n">
        <v>0</v>
      </c>
      <c r="H49" s="20" t="n">
        <v>1</v>
      </c>
      <c r="I49" s="20" t="n">
        <f aca="false">SUM(E49:H49)</f>
        <v>4</v>
      </c>
    </row>
    <row r="50" customFormat="false" ht="12.8" hidden="false" customHeight="false" outlineLevel="0" collapsed="false">
      <c r="A50" s="27" t="n">
        <f aca="false">MC346A!A50</f>
        <v>170207</v>
      </c>
      <c r="B50" s="27" t="str">
        <f aca="false">MC346A!B50</f>
        <v>Italo Nicola Ponce Pasini Judice Neto</v>
      </c>
      <c r="C50" s="28" t="n">
        <f aca="false">MC346A!C50</f>
        <v>42</v>
      </c>
      <c r="D50" s="28" t="str">
        <f aca="false">MC346A!D50</f>
        <v>G</v>
      </c>
      <c r="E50" s="20" t="n">
        <v>2</v>
      </c>
      <c r="F50" s="20" t="n">
        <v>2</v>
      </c>
      <c r="G50" s="20" t="n">
        <v>0</v>
      </c>
      <c r="H50" s="20" t="n">
        <v>0.5</v>
      </c>
      <c r="I50" s="20" t="n">
        <f aca="false">SUM(E50:H50)</f>
        <v>4.5</v>
      </c>
    </row>
    <row r="51" customFormat="false" ht="12.8" hidden="false" customHeight="false" outlineLevel="0" collapsed="false">
      <c r="A51" s="27" t="n">
        <f aca="false">MC346A!A51</f>
        <v>170710</v>
      </c>
      <c r="B51" s="27" t="str">
        <f aca="false">MC346A!B51</f>
        <v>João Victor Fernandes Silva</v>
      </c>
      <c r="C51" s="28" t="n">
        <f aca="false">MC346A!C51</f>
        <v>34</v>
      </c>
      <c r="D51" s="28" t="str">
        <f aca="false">MC346A!D51</f>
        <v>G</v>
      </c>
      <c r="E51" s="20" t="n">
        <v>1</v>
      </c>
      <c r="F51" s="20" t="n">
        <v>1</v>
      </c>
      <c r="G51" s="20" t="n">
        <v>0</v>
      </c>
      <c r="H51" s="20" t="n">
        <v>0</v>
      </c>
      <c r="I51" s="20" t="n">
        <f aca="false">SUM(E51:H51)</f>
        <v>2</v>
      </c>
    </row>
    <row r="52" customFormat="false" ht="12.8" hidden="false" customHeight="false" outlineLevel="0" collapsed="false">
      <c r="A52" s="27" t="n">
        <f aca="false">MC346A!A52</f>
        <v>171866</v>
      </c>
      <c r="B52" s="27" t="str">
        <f aca="false">MC346A!B52</f>
        <v>Leila Pompeu Zwanziger</v>
      </c>
      <c r="C52" s="28" t="n">
        <f aca="false">MC346A!C52</f>
        <v>42</v>
      </c>
      <c r="D52" s="28" t="str">
        <f aca="false">MC346A!D52</f>
        <v>G</v>
      </c>
      <c r="E52" s="20" t="n">
        <v>0.5</v>
      </c>
      <c r="F52" s="20" t="n">
        <v>2</v>
      </c>
      <c r="G52" s="20" t="n">
        <v>2</v>
      </c>
      <c r="H52" s="20" t="n">
        <v>1.4</v>
      </c>
      <c r="I52" s="20" t="n">
        <f aca="false">SUM(E52:H52)</f>
        <v>5.9</v>
      </c>
    </row>
    <row r="53" customFormat="false" ht="12.8" hidden="false" customHeight="false" outlineLevel="0" collapsed="false">
      <c r="A53" s="27" t="n">
        <f aca="false">MC346A!A53</f>
        <v>172017</v>
      </c>
      <c r="B53" s="27" t="str">
        <f aca="false">MC346A!B53</f>
        <v>Leonardo Maldonado Pagnez</v>
      </c>
      <c r="C53" s="28" t="n">
        <f aca="false">MC346A!C53</f>
        <v>34</v>
      </c>
      <c r="D53" s="28" t="str">
        <f aca="false">MC346A!D53</f>
        <v>G</v>
      </c>
      <c r="E53" s="20" t="n">
        <v>1.3</v>
      </c>
      <c r="F53" s="20" t="n">
        <v>0.7</v>
      </c>
      <c r="G53" s="20" t="n">
        <v>1.5</v>
      </c>
      <c r="H53" s="20" t="n">
        <v>0</v>
      </c>
      <c r="I53" s="20" t="n">
        <f aca="false">SUM(E53:H53)</f>
        <v>3.5</v>
      </c>
    </row>
    <row r="54" customFormat="false" ht="12.8" hidden="false" customHeight="false" outlineLevel="0" collapsed="false">
      <c r="A54" s="27" t="n">
        <f aca="false">MC346A!A54</f>
        <v>172519</v>
      </c>
      <c r="B54" s="27" t="str">
        <f aca="false">MC346A!B54</f>
        <v>Luara Peres Oliveira da Silva</v>
      </c>
      <c r="C54" s="28" t="n">
        <f aca="false">MC346A!C54</f>
        <v>42</v>
      </c>
      <c r="D54" s="28" t="str">
        <f aca="false">MC346A!D54</f>
        <v>G</v>
      </c>
      <c r="E54" s="20" t="n">
        <v>1</v>
      </c>
      <c r="F54" s="20" t="n">
        <v>1</v>
      </c>
      <c r="G54" s="20" t="n">
        <v>0.5</v>
      </c>
      <c r="H54" s="20" t="n">
        <v>0.5</v>
      </c>
      <c r="I54" s="20" t="n">
        <f aca="false">SUM(E54:H54)</f>
        <v>3</v>
      </c>
    </row>
    <row r="55" customFormat="false" ht="12.8" hidden="false" customHeight="false" outlineLevel="0" collapsed="false">
      <c r="A55" s="27" t="n">
        <f aca="false">MC346A!A55</f>
        <v>172608</v>
      </c>
      <c r="B55" s="27" t="str">
        <f aca="false">MC346A!B55</f>
        <v>Lucas Brito Ferreira Matos</v>
      </c>
      <c r="C55" s="28" t="n">
        <f aca="false">MC346A!C55</f>
        <v>42</v>
      </c>
      <c r="D55" s="28" t="str">
        <f aca="false">MC346A!D55</f>
        <v>G</v>
      </c>
      <c r="E55" s="20" t="n">
        <v>1.5</v>
      </c>
      <c r="F55" s="20" t="n">
        <v>2</v>
      </c>
      <c r="G55" s="20" t="n">
        <v>2.5</v>
      </c>
      <c r="H55" s="20" t="n">
        <v>0.5</v>
      </c>
      <c r="I55" s="20" t="n">
        <f aca="false">SUM(E55:H55)</f>
        <v>6.5</v>
      </c>
    </row>
    <row r="56" customFormat="false" ht="12.8" hidden="false" customHeight="false" outlineLevel="0" collapsed="false">
      <c r="A56" s="27" t="n">
        <f aca="false">MC346A!A56</f>
        <v>172655</v>
      </c>
      <c r="B56" s="27" t="str">
        <f aca="false">MC346A!B56</f>
        <v>Lucas Cunha Agustini</v>
      </c>
      <c r="C56" s="28" t="n">
        <f aca="false">MC346A!C56</f>
        <v>42</v>
      </c>
      <c r="D56" s="28" t="str">
        <f aca="false">MC346A!D56</f>
        <v>G</v>
      </c>
      <c r="E56" s="20" t="n">
        <v>2</v>
      </c>
      <c r="F56" s="20" t="n">
        <v>2</v>
      </c>
      <c r="G56" s="20" t="n">
        <v>0</v>
      </c>
      <c r="H56" s="20" t="n">
        <v>0.5</v>
      </c>
      <c r="I56" s="20" t="n">
        <f aca="false">SUM(E56:H56)</f>
        <v>4.5</v>
      </c>
    </row>
    <row r="57" customFormat="false" ht="12.8" hidden="false" customHeight="false" outlineLevel="0" collapsed="false">
      <c r="A57" s="27" t="n">
        <f aca="false">MC346A!A57</f>
        <v>173728</v>
      </c>
      <c r="B57" s="27" t="str">
        <f aca="false">MC346A!B57</f>
        <v>Marcus Danilo Leite Rodrigues</v>
      </c>
      <c r="C57" s="28" t="n">
        <f aca="false">MC346A!C57</f>
        <v>34</v>
      </c>
      <c r="D57" s="28" t="str">
        <f aca="false">MC346A!D57</f>
        <v>G</v>
      </c>
      <c r="E57" s="20"/>
      <c r="F57" s="20"/>
      <c r="G57" s="20"/>
      <c r="H57" s="20"/>
      <c r="I57" s="20"/>
    </row>
    <row r="58" customFormat="false" ht="12.8" hidden="false" customHeight="false" outlineLevel="0" collapsed="false">
      <c r="A58" s="27" t="n">
        <f aca="false">MC346A!A58</f>
        <v>174233</v>
      </c>
      <c r="B58" s="27" t="str">
        <f aca="false">MC346A!B58</f>
        <v>Marina Miranda Aranha</v>
      </c>
      <c r="C58" s="28" t="n">
        <f aca="false">MC346A!C58</f>
        <v>42</v>
      </c>
      <c r="D58" s="28" t="str">
        <f aca="false">MC346A!D58</f>
        <v>G</v>
      </c>
      <c r="E58" s="20" t="n">
        <v>0.5</v>
      </c>
      <c r="F58" s="20" t="n">
        <v>1.5</v>
      </c>
      <c r="G58" s="20" t="n">
        <v>0</v>
      </c>
      <c r="H58" s="20" t="n">
        <v>0.5</v>
      </c>
      <c r="I58" s="20" t="n">
        <f aca="false">SUM(E58:H58)</f>
        <v>2.5</v>
      </c>
    </row>
    <row r="59" customFormat="false" ht="12.8" hidden="false" customHeight="false" outlineLevel="0" collapsed="false">
      <c r="A59" s="27" t="n">
        <f aca="false">MC346A!A59</f>
        <v>174847</v>
      </c>
      <c r="B59" s="27" t="str">
        <f aca="false">MC346A!B59</f>
        <v>Miguel Augusto Silva Guida</v>
      </c>
      <c r="C59" s="28" t="n">
        <f aca="false">MC346A!C59</f>
        <v>42</v>
      </c>
      <c r="D59" s="28" t="str">
        <f aca="false">MC346A!D59</f>
        <v>G</v>
      </c>
      <c r="E59" s="20"/>
      <c r="F59" s="20"/>
      <c r="G59" s="20"/>
      <c r="H59" s="20"/>
      <c r="I59" s="20"/>
    </row>
    <row r="60" customFormat="false" ht="12.8" hidden="false" customHeight="false" outlineLevel="0" collapsed="false">
      <c r="A60" s="27" t="n">
        <f aca="false">MC346A!A60</f>
        <v>175828</v>
      </c>
      <c r="B60" s="27" t="str">
        <f aca="false">MC346A!B60</f>
        <v>Pedro Hideaki Uiechi Chinen</v>
      </c>
      <c r="C60" s="28" t="n">
        <f aca="false">MC346A!C60</f>
        <v>42</v>
      </c>
      <c r="D60" s="28" t="str">
        <f aca="false">MC346A!D60</f>
        <v>G</v>
      </c>
      <c r="E60" s="20" t="n">
        <v>0.8</v>
      </c>
      <c r="F60" s="20" t="n">
        <v>2</v>
      </c>
      <c r="G60" s="20" t="n">
        <v>0.5</v>
      </c>
      <c r="H60" s="20" t="n">
        <v>0.9</v>
      </c>
      <c r="I60" s="20" t="n">
        <f aca="false">SUM(E60:H60)</f>
        <v>4.2</v>
      </c>
    </row>
    <row r="61" customFormat="false" ht="12.8" hidden="false" customHeight="false" outlineLevel="0" collapsed="false">
      <c r="A61" s="27" t="n">
        <f aca="false">MC346A!A61</f>
        <v>175955</v>
      </c>
      <c r="B61" s="27" t="str">
        <f aca="false">MC346A!B61</f>
        <v>Pedro Stramantinoli Pires Cagliume Gomes</v>
      </c>
      <c r="C61" s="28" t="n">
        <f aca="false">MC346A!C61</f>
        <v>34</v>
      </c>
      <c r="D61" s="28" t="str">
        <f aca="false">MC346A!D61</f>
        <v>G</v>
      </c>
      <c r="E61" s="20"/>
      <c r="F61" s="20"/>
      <c r="G61" s="20"/>
      <c r="H61" s="20"/>
      <c r="I61" s="20"/>
    </row>
    <row r="62" customFormat="false" ht="12.8" hidden="false" customHeight="false" outlineLevel="0" collapsed="false">
      <c r="A62" s="27" t="n">
        <f aca="false">MC346A!A62</f>
        <v>176081</v>
      </c>
      <c r="B62" s="27" t="str">
        <f aca="false">MC346A!B62</f>
        <v>Rafael Bueno Lamarques Alves</v>
      </c>
      <c r="C62" s="28" t="n">
        <f aca="false">MC346A!C62</f>
        <v>42</v>
      </c>
      <c r="D62" s="28" t="str">
        <f aca="false">MC346A!D62</f>
        <v>G</v>
      </c>
      <c r="E62" s="20" t="n">
        <v>0.2</v>
      </c>
      <c r="F62" s="20" t="n">
        <v>2.5</v>
      </c>
      <c r="G62" s="20" t="n">
        <v>1.5</v>
      </c>
      <c r="H62" s="20" t="n">
        <v>0.5</v>
      </c>
      <c r="I62" s="20" t="n">
        <f aca="false">SUM(E62:H62)</f>
        <v>4.7</v>
      </c>
    </row>
    <row r="63" customFormat="false" ht="12.8" hidden="false" customHeight="false" outlineLevel="0" collapsed="false">
      <c r="A63" s="27" t="n">
        <f aca="false">MC346A!A63</f>
        <v>176127</v>
      </c>
      <c r="B63" s="27" t="str">
        <f aca="false">MC346A!B63</f>
        <v>Rafael Eiki Matheus Imamura</v>
      </c>
      <c r="C63" s="28" t="n">
        <f aca="false">MC346A!C63</f>
        <v>42</v>
      </c>
      <c r="D63" s="28" t="str">
        <f aca="false">MC346A!D63</f>
        <v>G</v>
      </c>
      <c r="E63" s="20" t="n">
        <v>2.4</v>
      </c>
      <c r="F63" s="20" t="n">
        <v>2.5</v>
      </c>
      <c r="G63" s="20" t="n">
        <v>2.5</v>
      </c>
      <c r="H63" s="20" t="n">
        <v>1</v>
      </c>
      <c r="I63" s="20" t="n">
        <f aca="false">SUM(E63:H63)</f>
        <v>8.4</v>
      </c>
    </row>
    <row r="64" customFormat="false" ht="12.8" hidden="false" customHeight="false" outlineLevel="0" collapsed="false">
      <c r="A64" s="27" t="n">
        <f aca="false">MC346A!A64</f>
        <v>177065</v>
      </c>
      <c r="B64" s="27" t="str">
        <f aca="false">MC346A!B64</f>
        <v>Samuel Felipe Chenatti</v>
      </c>
      <c r="C64" s="28" t="n">
        <f aca="false">MC346A!C64</f>
        <v>42</v>
      </c>
      <c r="D64" s="28" t="str">
        <f aca="false">MC346A!D64</f>
        <v>G</v>
      </c>
      <c r="E64" s="20" t="n">
        <v>1.1</v>
      </c>
      <c r="F64" s="20" t="n">
        <v>1</v>
      </c>
      <c r="G64" s="20" t="n">
        <v>0.5</v>
      </c>
      <c r="H64" s="20" t="n">
        <v>0</v>
      </c>
      <c r="I64" s="20" t="n">
        <f aca="false">SUM(E64:H64)</f>
        <v>2.6</v>
      </c>
    </row>
    <row r="65" customFormat="false" ht="12.8" hidden="false" customHeight="false" outlineLevel="0" collapsed="false">
      <c r="A65" s="27" t="n">
        <f aca="false">MC346A!A65</f>
        <v>177677</v>
      </c>
      <c r="B65" s="27" t="str">
        <f aca="false">MC346A!B65</f>
        <v>Thomas Jun Yamasaki</v>
      </c>
      <c r="C65" s="28" t="n">
        <f aca="false">MC346A!C65</f>
        <v>34</v>
      </c>
      <c r="D65" s="28" t="str">
        <f aca="false">MC346A!D65</f>
        <v>G</v>
      </c>
      <c r="E65" s="20" t="n">
        <v>1.5</v>
      </c>
      <c r="F65" s="20" t="n">
        <v>2.5</v>
      </c>
      <c r="G65" s="20" t="n">
        <v>1</v>
      </c>
      <c r="H65" s="20" t="n">
        <v>0</v>
      </c>
      <c r="I65" s="20" t="n">
        <f aca="false">SUM(E65:H65)</f>
        <v>5</v>
      </c>
    </row>
    <row r="66" customFormat="false" ht="12.8" hidden="false" customHeight="false" outlineLevel="0" collapsed="false">
      <c r="A66" s="27" t="n">
        <f aca="false">MC346A!A66</f>
        <v>178018</v>
      </c>
      <c r="B66" s="27" t="str">
        <f aca="false">MC346A!B66</f>
        <v>Victor Luccas Soares Villas Boas Antunes</v>
      </c>
      <c r="C66" s="28" t="n">
        <f aca="false">MC346A!C66</f>
        <v>42</v>
      </c>
      <c r="D66" s="28" t="str">
        <f aca="false">MC346A!D66</f>
        <v>G</v>
      </c>
      <c r="E66" s="20" t="n">
        <v>1.9</v>
      </c>
      <c r="F66" s="20" t="n">
        <v>2</v>
      </c>
      <c r="G66" s="20" t="n">
        <v>2</v>
      </c>
      <c r="H66" s="20" t="n">
        <v>0.5</v>
      </c>
      <c r="I66" s="20" t="n">
        <f aca="false">SUM(E66:H66)</f>
        <v>6.4</v>
      </c>
    </row>
    <row r="67" customFormat="false" ht="12.8" hidden="false" customHeight="false" outlineLevel="0" collapsed="false">
      <c r="A67" s="27" t="n">
        <f aca="false">MC346A!A67</f>
        <v>178183</v>
      </c>
      <c r="B67" s="27" t="str">
        <f aca="false">MC346A!B67</f>
        <v>Vinícius Balbino de Souza</v>
      </c>
      <c r="C67" s="28" t="n">
        <f aca="false">MC346A!C67</f>
        <v>42</v>
      </c>
      <c r="D67" s="28" t="str">
        <f aca="false">MC346A!D67</f>
        <v>G</v>
      </c>
      <c r="E67" s="20" t="n">
        <v>0.5</v>
      </c>
      <c r="F67" s="20" t="n">
        <v>1.5</v>
      </c>
      <c r="G67" s="20" t="n">
        <v>2</v>
      </c>
      <c r="H67" s="20" t="n">
        <v>1.5</v>
      </c>
      <c r="I67" s="20" t="n">
        <f aca="false">SUM(E67:H67)</f>
        <v>5.5</v>
      </c>
    </row>
    <row r="68" customFormat="false" ht="12.8" hidden="false" customHeight="false" outlineLevel="0" collapsed="false">
      <c r="A68" s="27" t="n">
        <f aca="false">MC346A!A68</f>
        <v>951431</v>
      </c>
      <c r="B68" s="27" t="str">
        <f aca="false">MC346A!B68</f>
        <v>Ricardo Dirani</v>
      </c>
      <c r="C68" s="28" t="n">
        <f aca="false">MC346A!C68</f>
        <v>42</v>
      </c>
      <c r="D68" s="28" t="str">
        <f aca="false">MC346A!D68</f>
        <v>G</v>
      </c>
      <c r="E68" s="20"/>
      <c r="F68" s="20"/>
      <c r="G68" s="20"/>
      <c r="H68" s="20"/>
      <c r="I68" s="20"/>
    </row>
    <row r="70" customFormat="false" ht="12.8" hidden="false" customHeight="false" outlineLevel="0" collapsed="false">
      <c r="B70" s="0" t="s">
        <v>44</v>
      </c>
      <c r="E70" s="29" t="n">
        <f aca="false">AVERAGE(E3:E69)</f>
        <v>1.13863636363636</v>
      </c>
      <c r="F70" s="29" t="n">
        <f aca="false">AVERAGE(F3:F69)</f>
        <v>1.78863636363636</v>
      </c>
      <c r="G70" s="29" t="n">
        <f aca="false">AVERAGE(G3:G69)</f>
        <v>1.13636363636364</v>
      </c>
      <c r="H70" s="29" t="n">
        <f aca="false">AVERAGE(H3:H69)</f>
        <v>0.640909090909091</v>
      </c>
      <c r="I70" s="29" t="n">
        <f aca="false">AVERAGE(I3:I69)</f>
        <v>4.70454545454545</v>
      </c>
    </row>
    <row r="71" customFormat="false" ht="12.8" hidden="false" customHeight="false" outlineLevel="0" collapsed="false">
      <c r="B71" s="0" t="s">
        <v>45</v>
      </c>
      <c r="E71" s="24" t="n">
        <f aca="false">SUM(E3:E69)</f>
        <v>50.1</v>
      </c>
      <c r="F71" s="24" t="n">
        <f aca="false">SUM(F3:F69)</f>
        <v>78.7</v>
      </c>
      <c r="G71" s="24" t="n">
        <f aca="false">SUM(G3:G69)</f>
        <v>50</v>
      </c>
      <c r="H71" s="24" t="n">
        <f aca="false">SUM(H3:H69)</f>
        <v>28.2</v>
      </c>
      <c r="I71" s="24" t="n">
        <f aca="false">SUM(I3:I69)</f>
        <v>207</v>
      </c>
    </row>
    <row r="72" customFormat="false" ht="12.8" hidden="false" customHeight="false" outlineLevel="0" collapsed="false">
      <c r="B72" s="0" t="s">
        <v>46</v>
      </c>
      <c r="E72" s="24" t="n">
        <f aca="false">E71/E70</f>
        <v>44</v>
      </c>
      <c r="F72" s="24" t="n">
        <f aca="false">F71/F70</f>
        <v>44</v>
      </c>
      <c r="G72" s="24" t="n">
        <f aca="false">G71/G70</f>
        <v>44</v>
      </c>
      <c r="H72" s="24" t="n">
        <f aca="false">H71/H70</f>
        <v>44</v>
      </c>
      <c r="I72" s="24" t="n">
        <f aca="false">I71/I70</f>
        <v>44</v>
      </c>
    </row>
    <row r="73" customFormat="false" ht="12.8" hidden="false" customHeight="false" outlineLevel="0" collapsed="false">
      <c r="B73" s="0" t="s">
        <v>47</v>
      </c>
      <c r="E73" s="29" t="n">
        <f aca="false">STDEV(E3:E69)</f>
        <v>0.676934234410332</v>
      </c>
      <c r="F73" s="29" t="n">
        <f aca="false">STDEV(F3:F69)</f>
        <v>0.702558748380521</v>
      </c>
      <c r="G73" s="29" t="n">
        <f aca="false">STDEV(G3:G69)</f>
        <v>0.948460419321243</v>
      </c>
      <c r="H73" s="29" t="n">
        <f aca="false">STDEV(H3:H69)</f>
        <v>0.562931769924075</v>
      </c>
      <c r="I73" s="29" t="n">
        <f aca="false">STDEV(I3:I69)</f>
        <v>2.06611133960716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7" activeCellId="0" sqref="H7"/>
    </sheetView>
  </sheetViews>
  <sheetFormatPr defaultRowHeight="12.8" zeroHeight="false" outlineLevelRow="0" outlineLevelCol="0"/>
  <cols>
    <col collapsed="false" customWidth="true" hidden="false" outlineLevel="0" max="1" min="1" style="0" width="6.81"/>
    <col collapsed="false" customWidth="true" hidden="false" outlineLevel="0" max="2" min="2" style="0" width="32.46"/>
    <col collapsed="false" customWidth="true" hidden="false" outlineLevel="0" max="3" min="3" style="24" width="4.29"/>
    <col collapsed="false" customWidth="true" hidden="false" outlineLevel="0" max="4" min="4" style="24" width="4.42"/>
    <col collapsed="false" customWidth="false" hidden="false" outlineLevel="0" max="9" min="5" style="24" width="11.52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A1" s="25"/>
      <c r="B1" s="25" t="s">
        <v>48</v>
      </c>
      <c r="C1" s="25"/>
      <c r="D1" s="25"/>
    </row>
    <row r="2" s="26" customFormat="true" ht="12.8" hidden="false" customHeight="false" outlineLevel="0" collapsed="false">
      <c r="A2" s="25" t="s">
        <v>16</v>
      </c>
      <c r="B2" s="25" t="s">
        <v>17</v>
      </c>
      <c r="C2" s="25" t="s">
        <v>37</v>
      </c>
      <c r="D2" s="25" t="s">
        <v>38</v>
      </c>
      <c r="E2" s="25" t="s">
        <v>39</v>
      </c>
      <c r="F2" s="25" t="s">
        <v>40</v>
      </c>
      <c r="G2" s="25" t="s">
        <v>41</v>
      </c>
      <c r="H2" s="25" t="s">
        <v>42</v>
      </c>
      <c r="I2" s="25" t="s">
        <v>43</v>
      </c>
    </row>
    <row r="3" customFormat="false" ht="12.8" hidden="false" customHeight="false" outlineLevel="0" collapsed="false">
      <c r="A3" s="27" t="n">
        <f aca="false">MC346A!A3</f>
        <v>101487</v>
      </c>
      <c r="B3" s="27" t="str">
        <f aca="false">MC346A!B3</f>
        <v>André Guaraldo</v>
      </c>
      <c r="C3" s="28" t="n">
        <f aca="false">MC346A!C3</f>
        <v>42</v>
      </c>
      <c r="D3" s="28" t="str">
        <f aca="false">MC346A!D3</f>
        <v>G</v>
      </c>
      <c r="E3" s="20"/>
      <c r="F3" s="20"/>
      <c r="G3" s="20"/>
      <c r="H3" s="20"/>
      <c r="I3" s="20"/>
    </row>
    <row r="4" customFormat="false" ht="12.8" hidden="false" customHeight="false" outlineLevel="0" collapsed="false">
      <c r="A4" s="27" t="n">
        <f aca="false">MC346A!A4</f>
        <v>116134</v>
      </c>
      <c r="B4" s="27" t="str">
        <f aca="false">MC346A!B4</f>
        <v>André Seiji Tamanaha</v>
      </c>
      <c r="C4" s="28" t="n">
        <f aca="false">MC346A!C4</f>
        <v>34</v>
      </c>
      <c r="D4" s="28" t="str">
        <f aca="false">MC346A!D4</f>
        <v>G</v>
      </c>
      <c r="E4" s="20"/>
      <c r="F4" s="20"/>
      <c r="G4" s="20"/>
      <c r="H4" s="20"/>
      <c r="I4" s="20"/>
    </row>
    <row r="5" customFormat="false" ht="12.8" hidden="false" customHeight="false" outlineLevel="0" collapsed="false">
      <c r="A5" s="27" t="n">
        <f aca="false">MC346A!A5</f>
        <v>117079</v>
      </c>
      <c r="B5" s="27" t="str">
        <f aca="false">MC346A!B5</f>
        <v>Guilherme Bighetti Platzeck</v>
      </c>
      <c r="C5" s="28" t="n">
        <f aca="false">MC346A!C5</f>
        <v>42</v>
      </c>
      <c r="D5" s="28" t="str">
        <f aca="false">MC346A!D5</f>
        <v>G</v>
      </c>
      <c r="E5" s="20" t="n">
        <v>2.5</v>
      </c>
      <c r="F5" s="20" t="n">
        <v>2.5</v>
      </c>
      <c r="G5" s="20" t="n">
        <v>2.5</v>
      </c>
      <c r="H5" s="20" t="n">
        <v>1.5</v>
      </c>
      <c r="I5" s="20" t="n">
        <f aca="false">SUM(E5:H5)</f>
        <v>9</v>
      </c>
    </row>
    <row r="6" customFormat="false" ht="12.8" hidden="false" customHeight="false" outlineLevel="0" collapsed="false">
      <c r="A6" s="27" t="n">
        <f aca="false">MC346A!A6</f>
        <v>118363</v>
      </c>
      <c r="B6" s="27" t="str">
        <f aca="false">MC346A!B6</f>
        <v>Pedro Gabriel Calixto Mendonça</v>
      </c>
      <c r="C6" s="28" t="n">
        <f aca="false">MC346A!C6</f>
        <v>34</v>
      </c>
      <c r="D6" s="28" t="str">
        <f aca="false">MC346A!D6</f>
        <v>G</v>
      </c>
      <c r="E6" s="20" t="n">
        <v>2.3</v>
      </c>
      <c r="F6" s="20" t="n">
        <v>2.5</v>
      </c>
      <c r="G6" s="20" t="n">
        <v>2</v>
      </c>
      <c r="H6" s="20" t="n">
        <v>2</v>
      </c>
      <c r="I6" s="20" t="n">
        <f aca="false">SUM(E6:H6)</f>
        <v>8.8</v>
      </c>
    </row>
    <row r="7" customFormat="false" ht="12.8" hidden="false" customHeight="false" outlineLevel="0" collapsed="false">
      <c r="A7" s="27" t="n">
        <f aca="false">MC346A!A7</f>
        <v>118827</v>
      </c>
      <c r="B7" s="27" t="str">
        <f aca="false">MC346A!B7</f>
        <v>Tiago Lobato Gimenes</v>
      </c>
      <c r="C7" s="28" t="n">
        <f aca="false">MC346A!C7</f>
        <v>34</v>
      </c>
      <c r="D7" s="28" t="str">
        <f aca="false">MC346A!D7</f>
        <v>G</v>
      </c>
      <c r="E7" s="20" t="n">
        <v>2</v>
      </c>
      <c r="F7" s="20" t="n">
        <v>2</v>
      </c>
      <c r="G7" s="20" t="n">
        <v>1.5</v>
      </c>
      <c r="H7" s="20" t="n">
        <v>2</v>
      </c>
      <c r="I7" s="20" t="n">
        <f aca="false">SUM(E7:H7)</f>
        <v>7.5</v>
      </c>
    </row>
    <row r="8" customFormat="false" ht="12.8" hidden="false" customHeight="false" outlineLevel="0" collapsed="false">
      <c r="A8" s="27" t="n">
        <f aca="false">MC346A!A8</f>
        <v>119494</v>
      </c>
      <c r="B8" s="27" t="str">
        <f aca="false">MC346A!B8</f>
        <v>Guilherme Costa Zanelato</v>
      </c>
      <c r="C8" s="28" t="n">
        <f aca="false">MC346A!C8</f>
        <v>34</v>
      </c>
      <c r="D8" s="28" t="str">
        <f aca="false">MC346A!D8</f>
        <v>G</v>
      </c>
      <c r="E8" s="20"/>
      <c r="F8" s="20"/>
      <c r="G8" s="20"/>
      <c r="H8" s="20"/>
      <c r="I8" s="20"/>
    </row>
    <row r="9" customFormat="false" ht="12.8" hidden="false" customHeight="false" outlineLevel="0" collapsed="false">
      <c r="A9" s="27" t="n">
        <f aca="false">MC346A!A9</f>
        <v>119637</v>
      </c>
      <c r="B9" s="27" t="str">
        <f aca="false">MC346A!B9</f>
        <v>João Víctor Chencci Marques</v>
      </c>
      <c r="C9" s="28" t="n">
        <f aca="false">MC346A!C9</f>
        <v>42</v>
      </c>
      <c r="D9" s="28" t="str">
        <f aca="false">MC346A!D9</f>
        <v>G</v>
      </c>
      <c r="E9" s="20"/>
      <c r="F9" s="20"/>
      <c r="G9" s="20"/>
      <c r="H9" s="20"/>
      <c r="I9" s="20"/>
    </row>
    <row r="10" customFormat="false" ht="12.8" hidden="false" customHeight="false" outlineLevel="0" collapsed="false">
      <c r="A10" s="27" t="n">
        <f aca="false">MC346A!A10</f>
        <v>135680</v>
      </c>
      <c r="B10" s="27" t="str">
        <f aca="false">MC346A!B10</f>
        <v>Fellipe Santiago Scarpa Caetano</v>
      </c>
      <c r="C10" s="28" t="n">
        <f aca="false">MC346A!C10</f>
        <v>42</v>
      </c>
      <c r="D10" s="28" t="str">
        <f aca="false">MC346A!D10</f>
        <v>G</v>
      </c>
      <c r="E10" s="20" t="n">
        <v>2</v>
      </c>
      <c r="F10" s="20" t="n">
        <v>2</v>
      </c>
      <c r="G10" s="20" t="n">
        <v>1.5</v>
      </c>
      <c r="H10" s="20" t="n">
        <v>1.5</v>
      </c>
      <c r="I10" s="20" t="n">
        <f aca="false">SUM(E10:H10)</f>
        <v>7</v>
      </c>
    </row>
    <row r="11" customFormat="false" ht="12.8" hidden="false" customHeight="false" outlineLevel="0" collapsed="false">
      <c r="A11" s="27" t="n">
        <f aca="false">MC346A!A11</f>
        <v>135986</v>
      </c>
      <c r="B11" s="27" t="str">
        <f aca="false">MC346A!B11</f>
        <v>Guilherme Santos Pereira</v>
      </c>
      <c r="C11" s="28" t="n">
        <f aca="false">MC346A!C11</f>
        <v>42</v>
      </c>
      <c r="D11" s="28" t="str">
        <f aca="false">MC346A!D11</f>
        <v>G</v>
      </c>
      <c r="E11" s="20"/>
      <c r="F11" s="20"/>
      <c r="G11" s="20"/>
      <c r="H11" s="20"/>
      <c r="I11" s="20"/>
    </row>
    <row r="12" customFormat="false" ht="12.8" hidden="false" customHeight="false" outlineLevel="0" collapsed="false">
      <c r="A12" s="27" t="n">
        <f aca="false">MC346A!A12</f>
        <v>136454</v>
      </c>
      <c r="B12" s="27" t="str">
        <f aca="false">MC346A!B12</f>
        <v>Larissa Dominique Garcia</v>
      </c>
      <c r="C12" s="28" t="n">
        <f aca="false">MC346A!C12</f>
        <v>42</v>
      </c>
      <c r="D12" s="28" t="str">
        <f aca="false">MC346A!D12</f>
        <v>G</v>
      </c>
      <c r="E12" s="20"/>
      <c r="F12" s="20"/>
      <c r="G12" s="20"/>
      <c r="H12" s="20"/>
      <c r="I12" s="20"/>
    </row>
    <row r="13" customFormat="false" ht="12.8" hidden="false" customHeight="false" outlineLevel="0" collapsed="false">
      <c r="A13" s="27" t="n">
        <f aca="false">MC346A!A13</f>
        <v>137733</v>
      </c>
      <c r="B13" s="27" t="str">
        <f aca="false">MC346A!B13</f>
        <v>Tiago Bento Fernandes</v>
      </c>
      <c r="C13" s="28" t="n">
        <f aca="false">MC346A!C13</f>
        <v>42</v>
      </c>
      <c r="D13" s="28" t="str">
        <f aca="false">MC346A!D13</f>
        <v>G</v>
      </c>
      <c r="E13" s="20" t="n">
        <v>1.5</v>
      </c>
      <c r="F13" s="20" t="n">
        <v>2.5</v>
      </c>
      <c r="G13" s="20" t="n">
        <v>2.3</v>
      </c>
      <c r="H13" s="20" t="n">
        <v>1.8</v>
      </c>
      <c r="I13" s="20" t="n">
        <f aca="false">SUM(E13:H13)</f>
        <v>8.1</v>
      </c>
    </row>
    <row r="14" customFormat="false" ht="12.8" hidden="false" customHeight="false" outlineLevel="0" collapsed="false">
      <c r="A14" s="27" t="n">
        <f aca="false">MC346A!A14</f>
        <v>138745</v>
      </c>
      <c r="B14" s="27" t="str">
        <f aca="false">MC346A!B14</f>
        <v>Lucas Piscello Cosme</v>
      </c>
      <c r="C14" s="28" t="n">
        <f aca="false">MC346A!C14</f>
        <v>42</v>
      </c>
      <c r="D14" s="28" t="str">
        <f aca="false">MC346A!D14</f>
        <v>G</v>
      </c>
      <c r="E14" s="20" t="n">
        <v>0.5</v>
      </c>
      <c r="F14" s="20" t="n">
        <v>1</v>
      </c>
      <c r="G14" s="20" t="n">
        <v>1.5</v>
      </c>
      <c r="H14" s="20" t="n">
        <v>1.5</v>
      </c>
      <c r="I14" s="20" t="n">
        <f aca="false">SUM(E14:H14)</f>
        <v>4.5</v>
      </c>
    </row>
    <row r="15" customFormat="false" ht="12.8" hidden="false" customHeight="false" outlineLevel="0" collapsed="false">
      <c r="A15" s="27" t="n">
        <f aca="false">MC346A!A15</f>
        <v>138771</v>
      </c>
      <c r="B15" s="27" t="str">
        <f aca="false">MC346A!B15</f>
        <v>Luiz Antonio Andia</v>
      </c>
      <c r="C15" s="28" t="n">
        <f aca="false">MC346A!C15</f>
        <v>42</v>
      </c>
      <c r="D15" s="28" t="str">
        <f aca="false">MC346A!D15</f>
        <v>G</v>
      </c>
      <c r="E15" s="20" t="n">
        <v>0.8</v>
      </c>
      <c r="F15" s="20" t="n">
        <v>1</v>
      </c>
      <c r="G15" s="20" t="n">
        <v>2.5</v>
      </c>
      <c r="H15" s="20" t="n">
        <v>1</v>
      </c>
      <c r="I15" s="20" t="n">
        <f aca="false">SUM(E15:H15)</f>
        <v>5.3</v>
      </c>
    </row>
    <row r="16" customFormat="false" ht="12.8" hidden="false" customHeight="false" outlineLevel="0" collapsed="false">
      <c r="A16" s="27" t="n">
        <f aca="false">MC346A!A16</f>
        <v>145510</v>
      </c>
      <c r="B16" s="27" t="str">
        <f aca="false">MC346A!B16</f>
        <v>Bruno Eiji Okano Yoshida</v>
      </c>
      <c r="C16" s="28" t="n">
        <f aca="false">MC346A!C16</f>
        <v>49</v>
      </c>
      <c r="D16" s="28" t="str">
        <f aca="false">MC346A!D16</f>
        <v>G</v>
      </c>
      <c r="E16" s="20"/>
      <c r="F16" s="20"/>
      <c r="G16" s="20"/>
      <c r="H16" s="20"/>
      <c r="I16" s="20"/>
    </row>
    <row r="17" customFormat="false" ht="12.8" hidden="false" customHeight="false" outlineLevel="0" collapsed="false">
      <c r="A17" s="27" t="n">
        <f aca="false">MC346A!A17</f>
        <v>145552</v>
      </c>
      <c r="B17" s="27" t="str">
        <f aca="false">MC346A!B17</f>
        <v>Caio Cerruti Gonçalves</v>
      </c>
      <c r="C17" s="28" t="n">
        <f aca="false">MC346A!C17</f>
        <v>42</v>
      </c>
      <c r="D17" s="28" t="str">
        <f aca="false">MC346A!D17</f>
        <v>G</v>
      </c>
      <c r="E17" s="20" t="n">
        <v>1.5</v>
      </c>
      <c r="F17" s="20" t="n">
        <v>0</v>
      </c>
      <c r="G17" s="20" t="n">
        <v>1</v>
      </c>
      <c r="H17" s="20" t="n">
        <v>0.5</v>
      </c>
      <c r="I17" s="20" t="n">
        <f aca="false">SUM(E17:H17)</f>
        <v>3</v>
      </c>
    </row>
    <row r="18" customFormat="false" ht="12.8" hidden="false" customHeight="false" outlineLevel="0" collapsed="false">
      <c r="A18" s="27" t="n">
        <f aca="false">MC346A!A18</f>
        <v>145763</v>
      </c>
      <c r="B18" s="27" t="str">
        <f aca="false">MC346A!B18</f>
        <v>Daniel dos Santos Pedroso</v>
      </c>
      <c r="C18" s="28" t="n">
        <f aca="false">MC346A!C18</f>
        <v>49</v>
      </c>
      <c r="D18" s="28" t="str">
        <f aca="false">MC346A!D18</f>
        <v>G</v>
      </c>
      <c r="E18" s="20"/>
      <c r="F18" s="20"/>
      <c r="G18" s="20"/>
      <c r="H18" s="20"/>
      <c r="I18" s="20"/>
    </row>
    <row r="19" customFormat="false" ht="12.8" hidden="false" customHeight="false" outlineLevel="0" collapsed="false">
      <c r="A19" s="27" t="n">
        <f aca="false">MC346A!A19</f>
        <v>146040</v>
      </c>
      <c r="B19" s="27" t="str">
        <f aca="false">MC346A!B19</f>
        <v>Felipe Soares Pires de Carvalho</v>
      </c>
      <c r="C19" s="28" t="n">
        <f aca="false">MC346A!C19</f>
        <v>42</v>
      </c>
      <c r="D19" s="28" t="str">
        <f aca="false">MC346A!D19</f>
        <v>G</v>
      </c>
      <c r="E19" s="20" t="n">
        <v>2.5</v>
      </c>
      <c r="F19" s="20" t="n">
        <v>2</v>
      </c>
      <c r="G19" s="20" t="n">
        <v>0.5</v>
      </c>
      <c r="H19" s="20" t="n">
        <v>0</v>
      </c>
      <c r="I19" s="20" t="n">
        <f aca="false">SUM(E19:H19)</f>
        <v>5</v>
      </c>
    </row>
    <row r="20" customFormat="false" ht="12.8" hidden="false" customHeight="false" outlineLevel="0" collapsed="false">
      <c r="A20" s="27" t="n">
        <f aca="false">MC346A!A20</f>
        <v>146098</v>
      </c>
      <c r="B20" s="27" t="str">
        <f aca="false">MC346A!B20</f>
        <v>Flavio Matheus Muniz Ribeiro da Silva</v>
      </c>
      <c r="C20" s="28" t="n">
        <f aca="false">MC346A!C20</f>
        <v>34</v>
      </c>
      <c r="D20" s="28" t="str">
        <f aca="false">MC346A!D20</f>
        <v>G</v>
      </c>
      <c r="E20" s="20" t="n">
        <v>1</v>
      </c>
      <c r="F20" s="20" t="n">
        <v>0.5</v>
      </c>
      <c r="G20" s="20" t="n">
        <v>2.5</v>
      </c>
      <c r="H20" s="20" t="n">
        <v>2</v>
      </c>
      <c r="I20" s="20" t="n">
        <f aca="false">SUM(E20:H20)</f>
        <v>6</v>
      </c>
    </row>
    <row r="21" customFormat="false" ht="12.8" hidden="false" customHeight="false" outlineLevel="0" collapsed="false">
      <c r="A21" s="27" t="n">
        <f aca="false">MC346A!A21</f>
        <v>146310</v>
      </c>
      <c r="B21" s="27" t="str">
        <f aca="false">MC346A!B21</f>
        <v>Guilherme Pereira Gribeler</v>
      </c>
      <c r="C21" s="28" t="n">
        <f aca="false">MC346A!C21</f>
        <v>34</v>
      </c>
      <c r="D21" s="28" t="str">
        <f aca="false">MC346A!D21</f>
        <v>G</v>
      </c>
      <c r="E21" s="20" t="n">
        <v>2.5</v>
      </c>
      <c r="F21" s="20" t="n">
        <v>2.5</v>
      </c>
      <c r="G21" s="20" t="n">
        <v>2.5</v>
      </c>
      <c r="H21" s="20" t="n">
        <v>1.8</v>
      </c>
      <c r="I21" s="20" t="n">
        <f aca="false">SUM(E21:H21)</f>
        <v>9.3</v>
      </c>
    </row>
    <row r="22" customFormat="false" ht="12.8" hidden="false" customHeight="false" outlineLevel="0" collapsed="false">
      <c r="A22" s="27" t="n">
        <f aca="false">MC346A!A22</f>
        <v>146318</v>
      </c>
      <c r="B22" s="27" t="str">
        <f aca="false">MC346A!B22</f>
        <v>Guilherme Rodrigues Bueno</v>
      </c>
      <c r="C22" s="28" t="n">
        <f aca="false">MC346A!C22</f>
        <v>42</v>
      </c>
      <c r="D22" s="28" t="str">
        <f aca="false">MC346A!D22</f>
        <v>G</v>
      </c>
      <c r="E22" s="20" t="n">
        <v>2.5</v>
      </c>
      <c r="F22" s="20" t="n">
        <v>0.3</v>
      </c>
      <c r="G22" s="20" t="n">
        <v>1.5</v>
      </c>
      <c r="H22" s="20" t="n">
        <v>1</v>
      </c>
      <c r="I22" s="20" t="n">
        <f aca="false">SUM(E22:H22)</f>
        <v>5.3</v>
      </c>
    </row>
    <row r="23" customFormat="false" ht="12.8" hidden="false" customHeight="false" outlineLevel="0" collapsed="false">
      <c r="A23" s="27" t="n">
        <f aca="false">MC346A!A23</f>
        <v>146383</v>
      </c>
      <c r="B23" s="27" t="str">
        <f aca="false">MC346A!B23</f>
        <v>Heitor Banhete Raymundo</v>
      </c>
      <c r="C23" s="28" t="n">
        <f aca="false">MC346A!C23</f>
        <v>42</v>
      </c>
      <c r="D23" s="28" t="str">
        <f aca="false">MC346A!D23</f>
        <v>G</v>
      </c>
      <c r="E23" s="20"/>
      <c r="F23" s="20"/>
      <c r="G23" s="20"/>
      <c r="H23" s="20"/>
      <c r="I23" s="20"/>
    </row>
    <row r="24" customFormat="false" ht="12.8" hidden="false" customHeight="false" outlineLevel="0" collapsed="false">
      <c r="A24" s="27" t="n">
        <f aca="false">MC346A!A24</f>
        <v>146752</v>
      </c>
      <c r="B24" s="27" t="str">
        <f aca="false">MC346A!B24</f>
        <v>Julio Barros de Paula</v>
      </c>
      <c r="C24" s="28" t="n">
        <f aca="false">MC346A!C24</f>
        <v>42</v>
      </c>
      <c r="D24" s="28" t="str">
        <f aca="false">MC346A!D24</f>
        <v>G</v>
      </c>
      <c r="E24" s="20"/>
      <c r="F24" s="20"/>
      <c r="G24" s="20"/>
      <c r="H24" s="20"/>
      <c r="I24" s="20"/>
    </row>
    <row r="25" customFormat="false" ht="12.8" hidden="false" customHeight="false" outlineLevel="0" collapsed="false">
      <c r="A25" s="27" t="n">
        <f aca="false">MC346A!A25</f>
        <v>147338</v>
      </c>
      <c r="B25" s="27" t="str">
        <f aca="false">MC346A!B25</f>
        <v>Mateus Augusto Bellomo Agrello Ruivo</v>
      </c>
      <c r="C25" s="28" t="n">
        <f aca="false">MC346A!C25</f>
        <v>42</v>
      </c>
      <c r="D25" s="28" t="str">
        <f aca="false">MC346A!D25</f>
        <v>G</v>
      </c>
      <c r="E25" s="20" t="n">
        <v>2.5</v>
      </c>
      <c r="F25" s="20" t="n">
        <v>2.5</v>
      </c>
      <c r="G25" s="20" t="n">
        <v>2.3</v>
      </c>
      <c r="H25" s="20" t="n">
        <v>2.3</v>
      </c>
      <c r="I25" s="20" t="n">
        <f aca="false">SUM(E25:H25)</f>
        <v>9.6</v>
      </c>
    </row>
    <row r="26" customFormat="false" ht="12.8" hidden="false" customHeight="false" outlineLevel="0" collapsed="false">
      <c r="A26" s="27" t="n">
        <f aca="false">MC346A!A26</f>
        <v>148246</v>
      </c>
      <c r="B26" s="27" t="str">
        <f aca="false">MC346A!B26</f>
        <v>Wilson Novais Martins</v>
      </c>
      <c r="C26" s="28" t="n">
        <f aca="false">MC346A!C26</f>
        <v>42</v>
      </c>
      <c r="D26" s="28" t="str">
        <f aca="false">MC346A!D26</f>
        <v>G</v>
      </c>
      <c r="E26" s="20" t="n">
        <v>0</v>
      </c>
      <c r="F26" s="20" t="n">
        <v>1</v>
      </c>
      <c r="G26" s="20" t="n">
        <v>1.5</v>
      </c>
      <c r="H26" s="20" t="n">
        <v>1.3</v>
      </c>
      <c r="I26" s="20" t="n">
        <f aca="false">SUM(E26:H26)</f>
        <v>3.8</v>
      </c>
    </row>
    <row r="27" customFormat="false" ht="12.8" hidden="false" customHeight="false" outlineLevel="0" collapsed="false">
      <c r="A27" s="27" t="n">
        <f aca="false">MC346A!A27</f>
        <v>148387</v>
      </c>
      <c r="B27" s="27" t="str">
        <f aca="false">MC346A!B27</f>
        <v>Bruno Masetto Sander</v>
      </c>
      <c r="C27" s="28" t="n">
        <f aca="false">MC346A!C27</f>
        <v>42</v>
      </c>
      <c r="D27" s="28" t="str">
        <f aca="false">MC346A!D27</f>
        <v>G</v>
      </c>
      <c r="E27" s="20"/>
      <c r="F27" s="20"/>
      <c r="G27" s="20"/>
      <c r="H27" s="20"/>
      <c r="I27" s="20"/>
    </row>
    <row r="28" customFormat="false" ht="12.8" hidden="false" customHeight="false" outlineLevel="0" collapsed="false">
      <c r="A28" s="27" t="n">
        <f aca="false">MC346A!A28</f>
        <v>149014</v>
      </c>
      <c r="B28" s="27" t="str">
        <f aca="false">MC346A!B28</f>
        <v>Tiago Abreu Munarolo</v>
      </c>
      <c r="C28" s="28" t="n">
        <f aca="false">MC346A!C28</f>
        <v>34</v>
      </c>
      <c r="D28" s="28" t="str">
        <f aca="false">MC346A!D28</f>
        <v>G</v>
      </c>
      <c r="E28" s="20"/>
      <c r="F28" s="20"/>
      <c r="G28" s="20"/>
      <c r="H28" s="20"/>
      <c r="I28" s="20"/>
    </row>
    <row r="29" customFormat="false" ht="12.8" hidden="false" customHeight="false" outlineLevel="0" collapsed="false">
      <c r="A29" s="27" t="n">
        <f aca="false">MC346A!A29</f>
        <v>150604</v>
      </c>
      <c r="B29" s="27" t="str">
        <f aca="false">MC346A!B29</f>
        <v>Denis de Almeida Oliveira</v>
      </c>
      <c r="C29" s="28" t="n">
        <f aca="false">MC346A!C29</f>
        <v>42</v>
      </c>
      <c r="D29" s="28" t="str">
        <f aca="false">MC346A!D29</f>
        <v>G</v>
      </c>
      <c r="E29" s="20" t="n">
        <v>2</v>
      </c>
      <c r="F29" s="20" t="n">
        <v>2.5</v>
      </c>
      <c r="G29" s="20" t="n">
        <v>2.5</v>
      </c>
      <c r="H29" s="20" t="n">
        <v>0.1</v>
      </c>
      <c r="I29" s="20" t="n">
        <f aca="false">SUM(E29:H29)</f>
        <v>7.1</v>
      </c>
    </row>
    <row r="30" customFormat="false" ht="12.8" hidden="false" customHeight="false" outlineLevel="0" collapsed="false">
      <c r="A30" s="27" t="n">
        <f aca="false">MC346A!A30</f>
        <v>150630</v>
      </c>
      <c r="B30" s="27" t="str">
        <f aca="false">MC346A!B30</f>
        <v>Gabriel Otero</v>
      </c>
      <c r="C30" s="28" t="n">
        <f aca="false">MC346A!C30</f>
        <v>42</v>
      </c>
      <c r="D30" s="28" t="str">
        <f aca="false">MC346A!D30</f>
        <v>G</v>
      </c>
      <c r="E30" s="20" t="n">
        <v>1.8</v>
      </c>
      <c r="F30" s="20" t="n">
        <v>2</v>
      </c>
      <c r="G30" s="20" t="n">
        <v>1.5</v>
      </c>
      <c r="H30" s="20" t="n">
        <v>1.5</v>
      </c>
      <c r="I30" s="20" t="n">
        <f aca="false">SUM(E30:H30)</f>
        <v>6.8</v>
      </c>
    </row>
    <row r="31" customFormat="false" ht="12.8" hidden="false" customHeight="false" outlineLevel="0" collapsed="false">
      <c r="A31" s="27" t="n">
        <f aca="false">MC346A!A31</f>
        <v>155299</v>
      </c>
      <c r="B31" s="27" t="str">
        <f aca="false">MC346A!B31</f>
        <v>Felipe dal Mas Eulalio</v>
      </c>
      <c r="C31" s="28" t="n">
        <f aca="false">MC346A!C31</f>
        <v>42</v>
      </c>
      <c r="D31" s="28" t="str">
        <f aca="false">MC346A!D31</f>
        <v>G</v>
      </c>
      <c r="E31" s="20" t="n">
        <v>2.5</v>
      </c>
      <c r="F31" s="20" t="n">
        <v>2.5</v>
      </c>
      <c r="G31" s="20" t="n">
        <v>1.5</v>
      </c>
      <c r="H31" s="20" t="n">
        <v>2</v>
      </c>
      <c r="I31" s="20" t="n">
        <f aca="false">SUM(E31:H31)</f>
        <v>8.5</v>
      </c>
    </row>
    <row r="32" customFormat="false" ht="12.8" hidden="false" customHeight="false" outlineLevel="0" collapsed="false">
      <c r="A32" s="27" t="n">
        <f aca="false">MC346A!A32</f>
        <v>155646</v>
      </c>
      <c r="B32" s="27" t="str">
        <f aca="false">MC346A!B32</f>
        <v>Gunter Mingato de Oliveira</v>
      </c>
      <c r="C32" s="28" t="n">
        <f aca="false">MC346A!C32</f>
        <v>34</v>
      </c>
      <c r="D32" s="28" t="str">
        <f aca="false">MC346A!D32</f>
        <v>G</v>
      </c>
      <c r="E32" s="20" t="n">
        <v>2</v>
      </c>
      <c r="F32" s="20" t="n">
        <v>1.8</v>
      </c>
      <c r="G32" s="20" t="n">
        <v>2.5</v>
      </c>
      <c r="H32" s="20" t="n">
        <v>1.5</v>
      </c>
      <c r="I32" s="20" t="n">
        <f aca="false">SUM(E32:H32)</f>
        <v>7.8</v>
      </c>
    </row>
    <row r="33" customFormat="false" ht="12.8" hidden="false" customHeight="false" outlineLevel="0" collapsed="false">
      <c r="A33" s="27" t="n">
        <f aca="false">MC346A!A33</f>
        <v>155943</v>
      </c>
      <c r="B33" s="27" t="str">
        <f aca="false">MC346A!B33</f>
        <v>João Víctor Brazileu Spuri</v>
      </c>
      <c r="C33" s="28" t="n">
        <f aca="false">MC346A!C33</f>
        <v>42</v>
      </c>
      <c r="D33" s="28" t="str">
        <f aca="false">MC346A!D33</f>
        <v>G</v>
      </c>
      <c r="E33" s="20" t="n">
        <v>2</v>
      </c>
      <c r="F33" s="20" t="n">
        <v>2</v>
      </c>
      <c r="G33" s="20" t="n">
        <v>2</v>
      </c>
      <c r="H33" s="20" t="n">
        <v>2.5</v>
      </c>
      <c r="I33" s="20" t="n">
        <f aca="false">SUM(E33:H33)</f>
        <v>8.5</v>
      </c>
    </row>
    <row r="34" customFormat="false" ht="12.8" hidden="false" customHeight="false" outlineLevel="0" collapsed="false">
      <c r="A34" s="27" t="n">
        <f aca="false">MC346A!A34</f>
        <v>155976</v>
      </c>
      <c r="B34" s="27" t="str">
        <f aca="false">MC346A!B34</f>
        <v>Jose Henrique Ferreira Pinto</v>
      </c>
      <c r="C34" s="28" t="n">
        <f aca="false">MC346A!C34</f>
        <v>42</v>
      </c>
      <c r="D34" s="28" t="str">
        <f aca="false">MC346A!D34</f>
        <v>G</v>
      </c>
      <c r="E34" s="20"/>
      <c r="F34" s="20"/>
      <c r="G34" s="20"/>
      <c r="H34" s="20"/>
      <c r="I34" s="20"/>
    </row>
    <row r="35" customFormat="false" ht="12.8" hidden="false" customHeight="false" outlineLevel="0" collapsed="false">
      <c r="A35" s="27" t="n">
        <f aca="false">MC346A!A35</f>
        <v>156362</v>
      </c>
      <c r="B35" s="27" t="str">
        <f aca="false">MC346A!B35</f>
        <v>Lucas Gabriel Silverio de Freitas</v>
      </c>
      <c r="C35" s="28" t="n">
        <f aca="false">MC346A!C35</f>
        <v>34</v>
      </c>
      <c r="D35" s="28" t="str">
        <f aca="false">MC346A!D35</f>
        <v>G</v>
      </c>
      <c r="E35" s="20"/>
      <c r="F35" s="20"/>
      <c r="G35" s="20"/>
      <c r="H35" s="20"/>
      <c r="I35" s="20"/>
    </row>
    <row r="36" customFormat="false" ht="12.8" hidden="false" customHeight="false" outlineLevel="0" collapsed="false">
      <c r="A36" s="27" t="n">
        <f aca="false">MC346A!A36</f>
        <v>156405</v>
      </c>
      <c r="B36" s="27" t="str">
        <f aca="false">MC346A!B36</f>
        <v>Lucas Rodolfo de Castro Moura</v>
      </c>
      <c r="C36" s="28" t="n">
        <f aca="false">MC346A!C36</f>
        <v>42</v>
      </c>
      <c r="D36" s="28" t="str">
        <f aca="false">MC346A!D36</f>
        <v>G</v>
      </c>
      <c r="E36" s="20"/>
      <c r="F36" s="20"/>
      <c r="G36" s="20"/>
      <c r="H36" s="20"/>
      <c r="I36" s="20"/>
    </row>
    <row r="37" customFormat="false" ht="12.8" hidden="false" customHeight="false" outlineLevel="0" collapsed="false">
      <c r="A37" s="27" t="n">
        <f aca="false">MC346A!A37</f>
        <v>158336</v>
      </c>
      <c r="B37" s="27" t="str">
        <f aca="false">MC346A!B37</f>
        <v>Pedro Gabriel Martins Ono</v>
      </c>
      <c r="C37" s="28" t="n">
        <f aca="false">MC346A!C37</f>
        <v>34</v>
      </c>
      <c r="D37" s="28" t="str">
        <f aca="false">MC346A!D37</f>
        <v>G</v>
      </c>
      <c r="E37" s="20"/>
      <c r="F37" s="20"/>
      <c r="G37" s="20"/>
      <c r="H37" s="20"/>
      <c r="I37" s="20"/>
    </row>
    <row r="38" customFormat="false" ht="12.8" hidden="false" customHeight="false" outlineLevel="0" collapsed="false">
      <c r="A38" s="27" t="n">
        <f aca="false">MC346A!A38</f>
        <v>160013</v>
      </c>
      <c r="B38" s="27" t="str">
        <f aca="false">MC346A!B38</f>
        <v>Victor Fontana Saez</v>
      </c>
      <c r="C38" s="28" t="n">
        <f aca="false">MC346A!C38</f>
        <v>34</v>
      </c>
      <c r="D38" s="28" t="str">
        <f aca="false">MC346A!D38</f>
        <v>G</v>
      </c>
      <c r="E38" s="20"/>
      <c r="F38" s="20"/>
      <c r="G38" s="20"/>
      <c r="H38" s="20"/>
      <c r="I38" s="20"/>
    </row>
    <row r="39" customFormat="false" ht="12.8" hidden="false" customHeight="false" outlineLevel="0" collapsed="false">
      <c r="A39" s="27" t="n">
        <f aca="false">MC346A!A39</f>
        <v>160160</v>
      </c>
      <c r="B39" s="27" t="str">
        <f aca="false">MC346A!B39</f>
        <v>Guilherme Furlan</v>
      </c>
      <c r="C39" s="28" t="n">
        <f aca="false">MC346A!C39</f>
        <v>42</v>
      </c>
      <c r="D39" s="28" t="str">
        <f aca="false">MC346A!D39</f>
        <v>G</v>
      </c>
      <c r="E39" s="20"/>
      <c r="F39" s="20"/>
      <c r="G39" s="20"/>
      <c r="H39" s="20"/>
      <c r="I39" s="20"/>
    </row>
    <row r="40" customFormat="false" ht="12.8" hidden="false" customHeight="false" outlineLevel="0" collapsed="false">
      <c r="A40" s="27" t="n">
        <f aca="false">MC346A!A40</f>
        <v>164213</v>
      </c>
      <c r="B40" s="27" t="str">
        <f aca="false">MC346A!B40</f>
        <v>Andreza Aparecida dos Santos</v>
      </c>
      <c r="C40" s="28" t="n">
        <f aca="false">MC346A!C40</f>
        <v>34</v>
      </c>
      <c r="D40" s="28" t="str">
        <f aca="false">MC346A!D40</f>
        <v>G</v>
      </c>
      <c r="E40" s="20"/>
      <c r="F40" s="20"/>
      <c r="G40" s="20"/>
      <c r="H40" s="20"/>
      <c r="I40" s="20"/>
    </row>
    <row r="41" customFormat="false" ht="12.8" hidden="false" customHeight="false" outlineLevel="0" collapsed="false">
      <c r="A41" s="27" t="n">
        <f aca="false">MC346A!A41</f>
        <v>164468</v>
      </c>
      <c r="B41" s="27" t="str">
        <f aca="false">MC346A!B41</f>
        <v>Artur Eiji Suguinoshita Aciole</v>
      </c>
      <c r="C41" s="28" t="n">
        <f aca="false">MC346A!C41</f>
        <v>42</v>
      </c>
      <c r="D41" s="28" t="str">
        <f aca="false">MC346A!D41</f>
        <v>G</v>
      </c>
      <c r="E41" s="20" t="n">
        <v>2</v>
      </c>
      <c r="F41" s="20" t="n">
        <v>2.5</v>
      </c>
      <c r="G41" s="20" t="n">
        <v>0.5</v>
      </c>
      <c r="H41" s="20" t="n">
        <v>1.5</v>
      </c>
      <c r="I41" s="20" t="n">
        <f aca="false">SUM(E41:H41)</f>
        <v>6.5</v>
      </c>
    </row>
    <row r="42" customFormat="false" ht="12.8" hidden="false" customHeight="false" outlineLevel="0" collapsed="false">
      <c r="A42" s="27" t="n">
        <f aca="false">MC346A!A42</f>
        <v>164700</v>
      </c>
      <c r="B42" s="27" t="str">
        <f aca="false">MC346A!B42</f>
        <v>Beatriz Inácio dos Santos</v>
      </c>
      <c r="C42" s="28" t="n">
        <f aca="false">MC346A!C42</f>
        <v>42</v>
      </c>
      <c r="D42" s="28" t="str">
        <f aca="false">MC346A!D42</f>
        <v>G</v>
      </c>
      <c r="E42" s="20"/>
      <c r="F42" s="20"/>
      <c r="G42" s="20"/>
      <c r="H42" s="20"/>
      <c r="I42" s="20"/>
    </row>
    <row r="43" customFormat="false" ht="12.8" hidden="false" customHeight="false" outlineLevel="0" collapsed="false">
      <c r="A43" s="27" t="n">
        <f aca="false">MC346A!A43</f>
        <v>166082</v>
      </c>
      <c r="B43" s="27" t="str">
        <f aca="false">MC346A!B43</f>
        <v>Clara Pompeu de Sousa Brasil Carneiro</v>
      </c>
      <c r="C43" s="28" t="n">
        <f aca="false">MC346A!C43</f>
        <v>34</v>
      </c>
      <c r="D43" s="28" t="str">
        <f aca="false">MC346A!D43</f>
        <v>G</v>
      </c>
      <c r="E43" s="20"/>
      <c r="F43" s="20"/>
      <c r="G43" s="20"/>
      <c r="H43" s="20"/>
      <c r="I43" s="20"/>
    </row>
    <row r="44" customFormat="false" ht="12.8" hidden="false" customHeight="false" outlineLevel="0" collapsed="false">
      <c r="A44" s="27" t="n">
        <f aca="false">MC346A!A44</f>
        <v>166213</v>
      </c>
      <c r="B44" s="27" t="str">
        <f aca="false">MC346A!B44</f>
        <v>Daniel Godoy Marques</v>
      </c>
      <c r="C44" s="28" t="n">
        <f aca="false">MC346A!C44</f>
        <v>42</v>
      </c>
      <c r="D44" s="28" t="str">
        <f aca="false">MC346A!D44</f>
        <v>G</v>
      </c>
      <c r="E44" s="20" t="n">
        <v>2</v>
      </c>
      <c r="F44" s="20" t="n">
        <v>0.8</v>
      </c>
      <c r="G44" s="20" t="n">
        <v>1.5</v>
      </c>
      <c r="H44" s="20" t="n">
        <v>1</v>
      </c>
      <c r="I44" s="20" t="n">
        <f aca="false">SUM(E44:H44)</f>
        <v>5.3</v>
      </c>
    </row>
    <row r="45" customFormat="false" ht="12.8" hidden="false" customHeight="false" outlineLevel="0" collapsed="false">
      <c r="A45" s="27" t="n">
        <f aca="false">MC346A!A45</f>
        <v>166249</v>
      </c>
      <c r="B45" s="27" t="str">
        <f aca="false">MC346A!B45</f>
        <v>Daniel Pereira Rodrigues</v>
      </c>
      <c r="C45" s="28" t="n">
        <f aca="false">MC346A!C45</f>
        <v>42</v>
      </c>
      <c r="D45" s="28" t="str">
        <f aca="false">MC346A!D45</f>
        <v>G</v>
      </c>
      <c r="E45" s="20" t="n">
        <v>2.3</v>
      </c>
      <c r="F45" s="20" t="n">
        <v>2.5</v>
      </c>
      <c r="G45" s="20" t="n">
        <v>2.5</v>
      </c>
      <c r="H45" s="20" t="n">
        <v>2.5</v>
      </c>
      <c r="I45" s="20" t="n">
        <f aca="false">SUM(E45:H45)</f>
        <v>9.8</v>
      </c>
    </row>
    <row r="46" customFormat="false" ht="12.8" hidden="false" customHeight="false" outlineLevel="0" collapsed="false">
      <c r="A46" s="27" t="n">
        <f aca="false">MC346A!A46</f>
        <v>168357</v>
      </c>
      <c r="B46" s="27" t="str">
        <f aca="false">MC346A!B46</f>
        <v>Gabriela Pereira Neri</v>
      </c>
      <c r="C46" s="28" t="n">
        <f aca="false">MC346A!C46</f>
        <v>42</v>
      </c>
      <c r="D46" s="28" t="str">
        <f aca="false">MC346A!D46</f>
        <v>G</v>
      </c>
      <c r="E46" s="20"/>
      <c r="F46" s="20"/>
      <c r="G46" s="20"/>
      <c r="H46" s="20"/>
      <c r="I46" s="20"/>
    </row>
    <row r="47" customFormat="false" ht="12.8" hidden="false" customHeight="false" outlineLevel="0" collapsed="false">
      <c r="A47" s="27" t="n">
        <f aca="false">MC346A!A47</f>
        <v>168891</v>
      </c>
      <c r="B47" s="27" t="str">
        <f aca="false">MC346A!B47</f>
        <v>Guilherme Alves Valarini</v>
      </c>
      <c r="C47" s="28" t="n">
        <f aca="false">MC346A!C47</f>
        <v>42</v>
      </c>
      <c r="D47" s="28" t="str">
        <f aca="false">MC346A!D47</f>
        <v>G</v>
      </c>
      <c r="E47" s="20" t="n">
        <v>2.5</v>
      </c>
      <c r="F47" s="20" t="n">
        <v>2.5</v>
      </c>
      <c r="G47" s="20" t="n">
        <v>2.5</v>
      </c>
      <c r="H47" s="20" t="n">
        <v>2.5</v>
      </c>
      <c r="I47" s="20" t="n">
        <f aca="false">SUM(E47:H47)</f>
        <v>10</v>
      </c>
    </row>
    <row r="48" customFormat="false" ht="12.8" hidden="false" customHeight="false" outlineLevel="0" collapsed="false">
      <c r="A48" s="27" t="n">
        <f aca="false">MC346A!A48</f>
        <v>169621</v>
      </c>
      <c r="B48" s="27" t="str">
        <f aca="false">MC346A!B48</f>
        <v>Henrique Machado Gonçalves</v>
      </c>
      <c r="C48" s="28" t="n">
        <f aca="false">MC346A!C48</f>
        <v>42</v>
      </c>
      <c r="D48" s="28" t="str">
        <f aca="false">MC346A!D48</f>
        <v>G</v>
      </c>
      <c r="E48" s="20"/>
      <c r="F48" s="20"/>
      <c r="G48" s="20"/>
      <c r="H48" s="20"/>
      <c r="I48" s="20"/>
    </row>
    <row r="49" customFormat="false" ht="12.8" hidden="false" customHeight="false" outlineLevel="0" collapsed="false">
      <c r="A49" s="27" t="n">
        <f aca="false">MC346A!A49</f>
        <v>169820</v>
      </c>
      <c r="B49" s="27" t="str">
        <f aca="false">MC346A!B49</f>
        <v>Igor Matheus Andrade Torrente</v>
      </c>
      <c r="C49" s="28" t="n">
        <f aca="false">MC346A!C49</f>
        <v>42</v>
      </c>
      <c r="D49" s="28" t="str">
        <f aca="false">MC346A!D49</f>
        <v>G</v>
      </c>
      <c r="E49" s="20" t="n">
        <v>2.3</v>
      </c>
      <c r="F49" s="20" t="n">
        <v>2</v>
      </c>
      <c r="G49" s="20" t="n">
        <v>1.5</v>
      </c>
      <c r="H49" s="20" t="n">
        <v>2</v>
      </c>
      <c r="I49" s="20" t="n">
        <f aca="false">SUM(E49:H49)</f>
        <v>7.8</v>
      </c>
    </row>
    <row r="50" customFormat="false" ht="12.8" hidden="false" customHeight="false" outlineLevel="0" collapsed="false">
      <c r="A50" s="27" t="n">
        <f aca="false">MC346A!A50</f>
        <v>170207</v>
      </c>
      <c r="B50" s="27" t="str">
        <f aca="false">MC346A!B50</f>
        <v>Italo Nicola Ponce Pasini Judice Neto</v>
      </c>
      <c r="C50" s="28" t="n">
        <f aca="false">MC346A!C50</f>
        <v>42</v>
      </c>
      <c r="D50" s="28" t="str">
        <f aca="false">MC346A!D50</f>
        <v>G</v>
      </c>
      <c r="E50" s="20" t="n">
        <v>2.5</v>
      </c>
      <c r="F50" s="20" t="n">
        <v>2.5</v>
      </c>
      <c r="G50" s="20" t="n">
        <v>1.5</v>
      </c>
      <c r="H50" s="20" t="n">
        <v>2</v>
      </c>
      <c r="I50" s="20" t="n">
        <f aca="false">SUM(E50:H50)</f>
        <v>8.5</v>
      </c>
    </row>
    <row r="51" customFormat="false" ht="12.8" hidden="false" customHeight="false" outlineLevel="0" collapsed="false">
      <c r="A51" s="27" t="n">
        <f aca="false">MC346A!A51</f>
        <v>170710</v>
      </c>
      <c r="B51" s="27" t="str">
        <f aca="false">MC346A!B51</f>
        <v>João Victor Fernandes Silva</v>
      </c>
      <c r="C51" s="28" t="n">
        <f aca="false">MC346A!C51</f>
        <v>34</v>
      </c>
      <c r="D51" s="28" t="str">
        <f aca="false">MC346A!D51</f>
        <v>G</v>
      </c>
      <c r="E51" s="20" t="n">
        <v>2.5</v>
      </c>
      <c r="F51" s="20" t="n">
        <v>1.5</v>
      </c>
      <c r="G51" s="20" t="n">
        <v>0.5</v>
      </c>
      <c r="H51" s="20" t="n">
        <v>1.5</v>
      </c>
      <c r="I51" s="20" t="n">
        <f aca="false">SUM(E51:H51)</f>
        <v>6</v>
      </c>
    </row>
    <row r="52" customFormat="false" ht="12.8" hidden="false" customHeight="false" outlineLevel="0" collapsed="false">
      <c r="A52" s="27" t="n">
        <f aca="false">MC346A!A52</f>
        <v>171866</v>
      </c>
      <c r="B52" s="27" t="str">
        <f aca="false">MC346A!B52</f>
        <v>Leila Pompeu Zwanziger</v>
      </c>
      <c r="C52" s="28" t="n">
        <f aca="false">MC346A!C52</f>
        <v>42</v>
      </c>
      <c r="D52" s="28" t="str">
        <f aca="false">MC346A!D52</f>
        <v>G</v>
      </c>
      <c r="E52" s="20" t="n">
        <v>1.8</v>
      </c>
      <c r="F52" s="20" t="n">
        <v>2.5</v>
      </c>
      <c r="G52" s="20" t="n">
        <v>2.5</v>
      </c>
      <c r="H52" s="20" t="n">
        <v>2.5</v>
      </c>
      <c r="I52" s="20" t="n">
        <f aca="false">SUM(E52:H52)</f>
        <v>9.3</v>
      </c>
    </row>
    <row r="53" customFormat="false" ht="12.8" hidden="false" customHeight="false" outlineLevel="0" collapsed="false">
      <c r="A53" s="27" t="n">
        <f aca="false">MC346A!A53</f>
        <v>172017</v>
      </c>
      <c r="B53" s="27" t="str">
        <f aca="false">MC346A!B53</f>
        <v>Leonardo Maldonado Pagnez</v>
      </c>
      <c r="C53" s="28" t="n">
        <f aca="false">MC346A!C53</f>
        <v>34</v>
      </c>
      <c r="D53" s="28" t="str">
        <f aca="false">MC346A!D53</f>
        <v>G</v>
      </c>
      <c r="E53" s="20" t="n">
        <v>2</v>
      </c>
      <c r="F53" s="20" t="n">
        <v>1.8</v>
      </c>
      <c r="G53" s="20" t="n">
        <v>2.5</v>
      </c>
      <c r="H53" s="20" t="n">
        <v>1.5</v>
      </c>
      <c r="I53" s="20" t="n">
        <f aca="false">SUM(E53:H53)</f>
        <v>7.8</v>
      </c>
    </row>
    <row r="54" customFormat="false" ht="12.8" hidden="false" customHeight="false" outlineLevel="0" collapsed="false">
      <c r="A54" s="27" t="n">
        <f aca="false">MC346A!A54</f>
        <v>172519</v>
      </c>
      <c r="B54" s="27" t="str">
        <f aca="false">MC346A!B54</f>
        <v>Luara Peres Oliveira da Silva</v>
      </c>
      <c r="C54" s="28" t="n">
        <f aca="false">MC346A!C54</f>
        <v>42</v>
      </c>
      <c r="D54" s="28" t="str">
        <f aca="false">MC346A!D54</f>
        <v>G</v>
      </c>
      <c r="E54" s="20" t="n">
        <v>2.5</v>
      </c>
      <c r="F54" s="20" t="n">
        <v>1.5</v>
      </c>
      <c r="G54" s="20" t="n">
        <v>1.5</v>
      </c>
      <c r="H54" s="20" t="n">
        <v>1.5</v>
      </c>
      <c r="I54" s="20" t="n">
        <f aca="false">SUM(E54:H54)</f>
        <v>7</v>
      </c>
    </row>
    <row r="55" customFormat="false" ht="12.8" hidden="false" customHeight="false" outlineLevel="0" collapsed="false">
      <c r="A55" s="27" t="n">
        <f aca="false">MC346A!A55</f>
        <v>172608</v>
      </c>
      <c r="B55" s="27" t="str">
        <f aca="false">MC346A!B55</f>
        <v>Lucas Brito Ferreira Matos</v>
      </c>
      <c r="C55" s="28" t="n">
        <f aca="false">MC346A!C55</f>
        <v>42</v>
      </c>
      <c r="D55" s="28" t="str">
        <f aca="false">MC346A!D55</f>
        <v>G</v>
      </c>
      <c r="E55" s="20" t="n">
        <v>1</v>
      </c>
      <c r="F55" s="20" t="n">
        <v>2.5</v>
      </c>
      <c r="G55" s="20" t="n">
        <v>2.5</v>
      </c>
      <c r="H55" s="20" t="n">
        <v>1</v>
      </c>
      <c r="I55" s="20" t="n">
        <f aca="false">SUM(E55:H55)</f>
        <v>7</v>
      </c>
    </row>
    <row r="56" customFormat="false" ht="12.8" hidden="false" customHeight="false" outlineLevel="0" collapsed="false">
      <c r="A56" s="27" t="n">
        <f aca="false">MC346A!A56</f>
        <v>172655</v>
      </c>
      <c r="B56" s="27" t="str">
        <f aca="false">MC346A!B56</f>
        <v>Lucas Cunha Agustini</v>
      </c>
      <c r="C56" s="28" t="n">
        <f aca="false">MC346A!C56</f>
        <v>42</v>
      </c>
      <c r="D56" s="28" t="str">
        <f aca="false">MC346A!D56</f>
        <v>G</v>
      </c>
      <c r="E56" s="20" t="n">
        <v>1.5</v>
      </c>
      <c r="F56" s="20" t="n">
        <v>2.5</v>
      </c>
      <c r="G56" s="20" t="n">
        <v>1.5</v>
      </c>
      <c r="H56" s="20" t="n">
        <v>1</v>
      </c>
      <c r="I56" s="20" t="n">
        <f aca="false">SUM(E56:H56)</f>
        <v>6.5</v>
      </c>
    </row>
    <row r="57" customFormat="false" ht="12.8" hidden="false" customHeight="false" outlineLevel="0" collapsed="false">
      <c r="A57" s="27" t="n">
        <f aca="false">MC346A!A57</f>
        <v>173728</v>
      </c>
      <c r="B57" s="27" t="str">
        <f aca="false">MC346A!B57</f>
        <v>Marcus Danilo Leite Rodrigues</v>
      </c>
      <c r="C57" s="28" t="n">
        <f aca="false">MC346A!C57</f>
        <v>34</v>
      </c>
      <c r="D57" s="28" t="str">
        <f aca="false">MC346A!D57</f>
        <v>G</v>
      </c>
      <c r="E57" s="20"/>
      <c r="F57" s="20"/>
      <c r="G57" s="20"/>
      <c r="H57" s="20"/>
      <c r="I57" s="20"/>
    </row>
    <row r="58" customFormat="false" ht="12.8" hidden="false" customHeight="false" outlineLevel="0" collapsed="false">
      <c r="A58" s="27" t="n">
        <f aca="false">MC346A!A58</f>
        <v>174233</v>
      </c>
      <c r="B58" s="27" t="str">
        <f aca="false">MC346A!B58</f>
        <v>Marina Miranda Aranha</v>
      </c>
      <c r="C58" s="28" t="n">
        <f aca="false">MC346A!C58</f>
        <v>42</v>
      </c>
      <c r="D58" s="28" t="str">
        <f aca="false">MC346A!D58</f>
        <v>G</v>
      </c>
      <c r="E58" s="20" t="n">
        <v>2.5</v>
      </c>
      <c r="F58" s="20" t="n">
        <v>1.3</v>
      </c>
      <c r="G58" s="20" t="n">
        <v>0.5</v>
      </c>
      <c r="H58" s="20" t="n">
        <v>0.5</v>
      </c>
      <c r="I58" s="20" t="n">
        <f aca="false">SUM(E58:H58)</f>
        <v>4.8</v>
      </c>
    </row>
    <row r="59" customFormat="false" ht="12.8" hidden="false" customHeight="false" outlineLevel="0" collapsed="false">
      <c r="A59" s="27" t="n">
        <f aca="false">MC346A!A59</f>
        <v>174847</v>
      </c>
      <c r="B59" s="27" t="str">
        <f aca="false">MC346A!B59</f>
        <v>Miguel Augusto Silva Guida</v>
      </c>
      <c r="C59" s="28" t="n">
        <f aca="false">MC346A!C59</f>
        <v>42</v>
      </c>
      <c r="D59" s="28" t="str">
        <f aca="false">MC346A!D59</f>
        <v>G</v>
      </c>
      <c r="E59" s="20"/>
      <c r="F59" s="20"/>
      <c r="G59" s="20"/>
      <c r="H59" s="20"/>
      <c r="I59" s="20"/>
    </row>
    <row r="60" customFormat="false" ht="12.8" hidden="false" customHeight="false" outlineLevel="0" collapsed="false">
      <c r="A60" s="27" t="n">
        <f aca="false">MC346A!A60</f>
        <v>175828</v>
      </c>
      <c r="B60" s="27" t="str">
        <f aca="false">MC346A!B60</f>
        <v>Pedro Hideaki Uiechi Chinen</v>
      </c>
      <c r="C60" s="28" t="n">
        <f aca="false">MC346A!C60</f>
        <v>42</v>
      </c>
      <c r="D60" s="28" t="str">
        <f aca="false">MC346A!D60</f>
        <v>G</v>
      </c>
      <c r="E60" s="20" t="n">
        <v>2</v>
      </c>
      <c r="F60" s="20" t="n">
        <v>2.5</v>
      </c>
      <c r="G60" s="20" t="n">
        <v>2.5</v>
      </c>
      <c r="H60" s="20" t="n">
        <v>2</v>
      </c>
      <c r="I60" s="20" t="n">
        <f aca="false">SUM(E60:H60)</f>
        <v>9</v>
      </c>
    </row>
    <row r="61" customFormat="false" ht="12.8" hidden="false" customHeight="false" outlineLevel="0" collapsed="false">
      <c r="A61" s="27" t="n">
        <f aca="false">MC346A!A61</f>
        <v>175955</v>
      </c>
      <c r="B61" s="27" t="str">
        <f aca="false">MC346A!B61</f>
        <v>Pedro Stramantinoli Pires Cagliume Gomes</v>
      </c>
      <c r="C61" s="28" t="n">
        <f aca="false">MC346A!C61</f>
        <v>34</v>
      </c>
      <c r="D61" s="28" t="str">
        <f aca="false">MC346A!D61</f>
        <v>G</v>
      </c>
      <c r="E61" s="20"/>
      <c r="F61" s="20"/>
      <c r="G61" s="20"/>
      <c r="H61" s="20"/>
      <c r="I61" s="20"/>
    </row>
    <row r="62" customFormat="false" ht="12.8" hidden="false" customHeight="false" outlineLevel="0" collapsed="false">
      <c r="A62" s="27" t="n">
        <f aca="false">MC346A!A62</f>
        <v>176081</v>
      </c>
      <c r="B62" s="27" t="str">
        <f aca="false">MC346A!B62</f>
        <v>Rafael Bueno Lamarques Alves</v>
      </c>
      <c r="C62" s="28" t="n">
        <f aca="false">MC346A!C62</f>
        <v>42</v>
      </c>
      <c r="D62" s="28" t="str">
        <f aca="false">MC346A!D62</f>
        <v>G</v>
      </c>
      <c r="E62" s="20" t="n">
        <v>1.5</v>
      </c>
      <c r="F62" s="20" t="n">
        <v>1.3</v>
      </c>
      <c r="G62" s="20" t="n">
        <v>0.5</v>
      </c>
      <c r="H62" s="20" t="n">
        <v>1</v>
      </c>
      <c r="I62" s="20" t="n">
        <f aca="false">SUM(E62:H62)</f>
        <v>4.3</v>
      </c>
    </row>
    <row r="63" customFormat="false" ht="12.8" hidden="false" customHeight="false" outlineLevel="0" collapsed="false">
      <c r="A63" s="27" t="n">
        <f aca="false">MC346A!A63</f>
        <v>176127</v>
      </c>
      <c r="B63" s="27" t="str">
        <f aca="false">MC346A!B63</f>
        <v>Rafael Eiki Matheus Imamura</v>
      </c>
      <c r="C63" s="28" t="n">
        <f aca="false">MC346A!C63</f>
        <v>42</v>
      </c>
      <c r="D63" s="28" t="str">
        <f aca="false">MC346A!D63</f>
        <v>G</v>
      </c>
      <c r="E63" s="20" t="n">
        <v>2.5</v>
      </c>
      <c r="F63" s="20" t="n">
        <v>2.5</v>
      </c>
      <c r="G63" s="20" t="n">
        <v>1.5</v>
      </c>
      <c r="H63" s="20" t="n">
        <v>2</v>
      </c>
      <c r="I63" s="20" t="n">
        <f aca="false">SUM(E63:H63)</f>
        <v>8.5</v>
      </c>
    </row>
    <row r="64" customFormat="false" ht="12.8" hidden="false" customHeight="false" outlineLevel="0" collapsed="false">
      <c r="A64" s="27" t="n">
        <f aca="false">MC346A!A64</f>
        <v>177065</v>
      </c>
      <c r="B64" s="27" t="str">
        <f aca="false">MC346A!B64</f>
        <v>Samuel Felipe Chenatti</v>
      </c>
      <c r="C64" s="28" t="n">
        <f aca="false">MC346A!C64</f>
        <v>42</v>
      </c>
      <c r="D64" s="28" t="str">
        <f aca="false">MC346A!D64</f>
        <v>G</v>
      </c>
      <c r="E64" s="20" t="n">
        <v>2</v>
      </c>
      <c r="F64" s="20" t="n">
        <v>2</v>
      </c>
      <c r="G64" s="20" t="n">
        <v>2</v>
      </c>
      <c r="H64" s="20" t="n">
        <v>1.8</v>
      </c>
      <c r="I64" s="20" t="n">
        <f aca="false">SUM(E64:H64)</f>
        <v>7.8</v>
      </c>
    </row>
    <row r="65" customFormat="false" ht="12.8" hidden="false" customHeight="false" outlineLevel="0" collapsed="false">
      <c r="A65" s="27" t="n">
        <f aca="false">MC346A!A65</f>
        <v>177677</v>
      </c>
      <c r="B65" s="27" t="str">
        <f aca="false">MC346A!B65</f>
        <v>Thomas Jun Yamasaki</v>
      </c>
      <c r="C65" s="28" t="n">
        <f aca="false">MC346A!C65</f>
        <v>34</v>
      </c>
      <c r="D65" s="28" t="str">
        <f aca="false">MC346A!D65</f>
        <v>G</v>
      </c>
      <c r="E65" s="20"/>
      <c r="F65" s="20"/>
      <c r="G65" s="20"/>
      <c r="H65" s="20"/>
      <c r="I65" s="20"/>
    </row>
    <row r="66" customFormat="false" ht="12.8" hidden="false" customHeight="false" outlineLevel="0" collapsed="false">
      <c r="A66" s="27" t="n">
        <f aca="false">MC346A!A66</f>
        <v>178018</v>
      </c>
      <c r="B66" s="27" t="str">
        <f aca="false">MC346A!B66</f>
        <v>Victor Luccas Soares Villas Boas Antunes</v>
      </c>
      <c r="C66" s="28" t="n">
        <f aca="false">MC346A!C66</f>
        <v>42</v>
      </c>
      <c r="D66" s="28" t="str">
        <f aca="false">MC346A!D66</f>
        <v>G</v>
      </c>
      <c r="E66" s="20" t="n">
        <v>2.3</v>
      </c>
      <c r="F66" s="20" t="n">
        <v>2.5</v>
      </c>
      <c r="G66" s="20" t="n">
        <v>2</v>
      </c>
      <c r="H66" s="20" t="n">
        <v>2.5</v>
      </c>
      <c r="I66" s="20" t="n">
        <f aca="false">SUM(E66:H66)</f>
        <v>9.3</v>
      </c>
    </row>
    <row r="67" customFormat="false" ht="12.8" hidden="false" customHeight="false" outlineLevel="0" collapsed="false">
      <c r="A67" s="27" t="n">
        <f aca="false">MC346A!A67</f>
        <v>178183</v>
      </c>
      <c r="B67" s="27" t="str">
        <f aca="false">MC346A!B67</f>
        <v>Vinícius Balbino de Souza</v>
      </c>
      <c r="C67" s="28" t="n">
        <f aca="false">MC346A!C67</f>
        <v>42</v>
      </c>
      <c r="D67" s="28" t="str">
        <f aca="false">MC346A!D67</f>
        <v>G</v>
      </c>
      <c r="E67" s="20" t="n">
        <v>2</v>
      </c>
      <c r="F67" s="20" t="n">
        <v>2.5</v>
      </c>
      <c r="G67" s="20" t="n">
        <v>2.5</v>
      </c>
      <c r="H67" s="20" t="n">
        <v>2</v>
      </c>
      <c r="I67" s="20" t="n">
        <f aca="false">SUM(E67:H67)</f>
        <v>9</v>
      </c>
    </row>
    <row r="68" customFormat="false" ht="12.8" hidden="false" customHeight="false" outlineLevel="0" collapsed="false">
      <c r="A68" s="27" t="n">
        <f aca="false">MC346A!A68</f>
        <v>951431</v>
      </c>
      <c r="B68" s="27" t="str">
        <f aca="false">MC346A!B68</f>
        <v>Ricardo Dirani</v>
      </c>
      <c r="C68" s="28" t="n">
        <f aca="false">MC346A!C68</f>
        <v>42</v>
      </c>
      <c r="D68" s="28" t="str">
        <f aca="false">MC346A!D68</f>
        <v>G</v>
      </c>
      <c r="E68" s="20"/>
      <c r="F68" s="20"/>
      <c r="G68" s="20"/>
      <c r="H68" s="20"/>
      <c r="I68" s="20"/>
    </row>
    <row r="70" customFormat="false" ht="12.8" hidden="false" customHeight="false" outlineLevel="0" collapsed="false">
      <c r="B70" s="0" t="s">
        <v>44</v>
      </c>
      <c r="E70" s="29" t="n">
        <f aca="false">AVERAGE(E3:E69)</f>
        <v>1.95</v>
      </c>
      <c r="F70" s="29" t="n">
        <f aca="false">AVERAGE(F3:F69)</f>
        <v>1.91578947368421</v>
      </c>
      <c r="G70" s="29" t="n">
        <f aca="false">AVERAGE(G3:G69)</f>
        <v>1.79210526315789</v>
      </c>
      <c r="H70" s="29" t="n">
        <f aca="false">AVERAGE(H3:H69)</f>
        <v>1.58157894736842</v>
      </c>
      <c r="I70" s="29" t="n">
        <f aca="false">AVERAGE(I3:I69)</f>
        <v>7.23947368421053</v>
      </c>
    </row>
    <row r="71" customFormat="false" ht="12.8" hidden="false" customHeight="false" outlineLevel="0" collapsed="false">
      <c r="B71" s="0" t="s">
        <v>45</v>
      </c>
      <c r="E71" s="24" t="n">
        <f aca="false">SUM(E3:E69)</f>
        <v>74.1</v>
      </c>
      <c r="F71" s="24" t="n">
        <f aca="false">SUM(F3:F69)</f>
        <v>72.8</v>
      </c>
      <c r="G71" s="24" t="n">
        <f aca="false">SUM(G3:G69)</f>
        <v>68.1</v>
      </c>
      <c r="H71" s="24" t="n">
        <f aca="false">SUM(H3:H69)</f>
        <v>60.1</v>
      </c>
      <c r="I71" s="24" t="n">
        <f aca="false">SUM(I3:I69)</f>
        <v>275.1</v>
      </c>
    </row>
    <row r="72" customFormat="false" ht="12.8" hidden="false" customHeight="false" outlineLevel="0" collapsed="false">
      <c r="B72" s="0" t="s">
        <v>46</v>
      </c>
      <c r="E72" s="24" t="n">
        <f aca="false">E71/E70</f>
        <v>38</v>
      </c>
      <c r="F72" s="24" t="n">
        <f aca="false">F71/F70</f>
        <v>38</v>
      </c>
      <c r="G72" s="24" t="n">
        <f aca="false">G71/G70</f>
        <v>38</v>
      </c>
      <c r="H72" s="24" t="n">
        <f aca="false">H71/H70</f>
        <v>38</v>
      </c>
      <c r="I72" s="24" t="n">
        <f aca="false">I71/I70</f>
        <v>38</v>
      </c>
    </row>
    <row r="73" customFormat="false" ht="12.8" hidden="false" customHeight="false" outlineLevel="0" collapsed="false">
      <c r="B73" s="0" t="s">
        <v>47</v>
      </c>
      <c r="E73" s="29" t="n">
        <f aca="false">STDEV(E3:E69)</f>
        <v>0.615893111119392</v>
      </c>
      <c r="F73" s="29" t="n">
        <f aca="false">STDEV(F3:F69)</f>
        <v>0.723552166926878</v>
      </c>
      <c r="G73" s="29" t="n">
        <f aca="false">STDEV(G3:G69)</f>
        <v>0.683544648079038</v>
      </c>
      <c r="H73" s="29" t="n">
        <f aca="false">STDEV(H3:H69)</f>
        <v>0.650511342800704</v>
      </c>
      <c r="I73" s="29" t="n">
        <f aca="false">STDEV(I3:I69)</f>
        <v>1.84090745450322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3"/>
  <sheetViews>
    <sheetView showFormulas="false" showGridLines="true" showRowColHeaders="true" showZeros="true" rightToLeft="false" tabSelected="false" showOutlineSymbols="true" defaultGridColor="true" view="normal" topLeftCell="A43" colorId="64" zoomScale="110" zoomScaleNormal="110" zoomScalePageLayoutView="100" workbookViewId="0">
      <selection pane="topLeft" activeCell="G59" activeCellId="0" sqref="G59"/>
    </sheetView>
  </sheetViews>
  <sheetFormatPr defaultRowHeight="12.8" zeroHeight="false" outlineLevelRow="0" outlineLevelCol="0"/>
  <cols>
    <col collapsed="false" customWidth="true" hidden="false" outlineLevel="0" max="1" min="1" style="0" width="6.81"/>
    <col collapsed="false" customWidth="true" hidden="false" outlineLevel="0" max="2" min="2" style="0" width="32.46"/>
    <col collapsed="false" customWidth="true" hidden="false" outlineLevel="0" max="3" min="3" style="24" width="4.29"/>
    <col collapsed="false" customWidth="true" hidden="false" outlineLevel="0" max="4" min="4" style="24" width="4.42"/>
    <col collapsed="false" customWidth="false" hidden="false" outlineLevel="0" max="9" min="5" style="24" width="11.52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A1" s="25"/>
      <c r="B1" s="25" t="s">
        <v>3</v>
      </c>
      <c r="C1" s="25"/>
      <c r="D1" s="25"/>
    </row>
    <row r="2" s="26" customFormat="true" ht="12.8" hidden="false" customHeight="false" outlineLevel="0" collapsed="false">
      <c r="A2" s="25" t="s">
        <v>16</v>
      </c>
      <c r="B2" s="25" t="s">
        <v>17</v>
      </c>
      <c r="C2" s="25" t="s">
        <v>37</v>
      </c>
      <c r="D2" s="25" t="s">
        <v>38</v>
      </c>
      <c r="E2" s="25" t="s">
        <v>39</v>
      </c>
      <c r="F2" s="25" t="s">
        <v>40</v>
      </c>
      <c r="G2" s="25" t="s">
        <v>41</v>
      </c>
      <c r="H2" s="25" t="s">
        <v>42</v>
      </c>
      <c r="I2" s="25" t="s">
        <v>43</v>
      </c>
    </row>
    <row r="3" customFormat="false" ht="12.8" hidden="false" customHeight="false" outlineLevel="0" collapsed="false">
      <c r="A3" s="27" t="n">
        <f aca="false">MC346A!A3</f>
        <v>101487</v>
      </c>
      <c r="B3" s="27" t="str">
        <f aca="false">MC346A!B3</f>
        <v>André Guaraldo</v>
      </c>
      <c r="C3" s="28" t="n">
        <f aca="false">MC346A!C3</f>
        <v>42</v>
      </c>
      <c r="D3" s="28" t="str">
        <f aca="false">MC346A!D3</f>
        <v>G</v>
      </c>
      <c r="E3" s="20"/>
      <c r="F3" s="20"/>
      <c r="G3" s="20"/>
      <c r="H3" s="20"/>
      <c r="I3" s="20"/>
    </row>
    <row r="4" customFormat="false" ht="12.8" hidden="false" customHeight="false" outlineLevel="0" collapsed="false">
      <c r="A4" s="27" t="n">
        <f aca="false">MC346A!A4</f>
        <v>116134</v>
      </c>
      <c r="B4" s="27" t="str">
        <f aca="false">MC346A!B4</f>
        <v>André Seiji Tamanaha</v>
      </c>
      <c r="C4" s="28" t="n">
        <f aca="false">MC346A!C4</f>
        <v>34</v>
      </c>
      <c r="D4" s="28" t="str">
        <f aca="false">MC346A!D4</f>
        <v>G</v>
      </c>
      <c r="E4" s="20"/>
      <c r="F4" s="20"/>
      <c r="G4" s="20"/>
      <c r="H4" s="20"/>
      <c r="I4" s="20"/>
    </row>
    <row r="5" customFormat="false" ht="12.8" hidden="false" customHeight="false" outlineLevel="0" collapsed="false">
      <c r="A5" s="27" t="n">
        <f aca="false">MC346A!A5</f>
        <v>117079</v>
      </c>
      <c r="B5" s="27" t="str">
        <f aca="false">MC346A!B5</f>
        <v>Guilherme Bighetti Platzeck</v>
      </c>
      <c r="C5" s="28" t="n">
        <f aca="false">MC346A!C5</f>
        <v>42</v>
      </c>
      <c r="D5" s="28" t="str">
        <f aca="false">MC346A!D5</f>
        <v>G</v>
      </c>
      <c r="E5" s="20"/>
      <c r="F5" s="20"/>
      <c r="G5" s="20"/>
      <c r="H5" s="20"/>
      <c r="I5" s="20" t="n">
        <f aca="false">SUM(E5:H5)</f>
        <v>0</v>
      </c>
    </row>
    <row r="6" customFormat="false" ht="12.8" hidden="false" customHeight="false" outlineLevel="0" collapsed="false">
      <c r="A6" s="27" t="n">
        <f aca="false">MC346A!A6</f>
        <v>118363</v>
      </c>
      <c r="B6" s="27" t="str">
        <f aca="false">MC346A!B6</f>
        <v>Pedro Gabriel Calixto Mendonça</v>
      </c>
      <c r="C6" s="28" t="n">
        <f aca="false">MC346A!C6</f>
        <v>34</v>
      </c>
      <c r="D6" s="28" t="str">
        <f aca="false">MC346A!D6</f>
        <v>G</v>
      </c>
      <c r="E6" s="20"/>
      <c r="F6" s="20"/>
      <c r="G6" s="20"/>
      <c r="H6" s="20"/>
      <c r="I6" s="20" t="n">
        <f aca="false">SUM(E6:H6)</f>
        <v>0</v>
      </c>
    </row>
    <row r="7" customFormat="false" ht="12.8" hidden="false" customHeight="false" outlineLevel="0" collapsed="false">
      <c r="A7" s="27" t="n">
        <f aca="false">MC346A!A7</f>
        <v>118827</v>
      </c>
      <c r="B7" s="27" t="str">
        <f aca="false">MC346A!B7</f>
        <v>Tiago Lobato Gimenes</v>
      </c>
      <c r="C7" s="28" t="n">
        <f aca="false">MC346A!C7</f>
        <v>34</v>
      </c>
      <c r="D7" s="28" t="str">
        <f aca="false">MC346A!D7</f>
        <v>G</v>
      </c>
      <c r="E7" s="20"/>
      <c r="F7" s="20"/>
      <c r="G7" s="20"/>
      <c r="H7" s="20"/>
      <c r="I7" s="20" t="n">
        <f aca="false">SUM(E7:H7)</f>
        <v>0</v>
      </c>
    </row>
    <row r="8" customFormat="false" ht="12.8" hidden="false" customHeight="false" outlineLevel="0" collapsed="false">
      <c r="A8" s="27" t="n">
        <f aca="false">MC346A!A8</f>
        <v>119494</v>
      </c>
      <c r="B8" s="27" t="str">
        <f aca="false">MC346A!B8</f>
        <v>Guilherme Costa Zanelato</v>
      </c>
      <c r="C8" s="28" t="n">
        <f aca="false">MC346A!C8</f>
        <v>34</v>
      </c>
      <c r="D8" s="28" t="str">
        <f aca="false">MC346A!D8</f>
        <v>G</v>
      </c>
      <c r="E8" s="20"/>
      <c r="F8" s="20"/>
      <c r="G8" s="20"/>
      <c r="H8" s="20"/>
      <c r="I8" s="20"/>
    </row>
    <row r="9" customFormat="false" ht="12.8" hidden="false" customHeight="false" outlineLevel="0" collapsed="false">
      <c r="A9" s="27" t="n">
        <f aca="false">MC346A!A9</f>
        <v>119637</v>
      </c>
      <c r="B9" s="27" t="str">
        <f aca="false">MC346A!B9</f>
        <v>João Víctor Chencci Marques</v>
      </c>
      <c r="C9" s="28" t="n">
        <f aca="false">MC346A!C9</f>
        <v>42</v>
      </c>
      <c r="D9" s="28" t="str">
        <f aca="false">MC346A!D9</f>
        <v>G</v>
      </c>
      <c r="E9" s="20"/>
      <c r="F9" s="20"/>
      <c r="G9" s="20"/>
      <c r="H9" s="20"/>
      <c r="I9" s="20"/>
    </row>
    <row r="10" customFormat="false" ht="12.8" hidden="false" customHeight="false" outlineLevel="0" collapsed="false">
      <c r="A10" s="27" t="n">
        <f aca="false">MC346A!A10</f>
        <v>135680</v>
      </c>
      <c r="B10" s="27" t="str">
        <f aca="false">MC346A!B10</f>
        <v>Fellipe Santiago Scarpa Caetano</v>
      </c>
      <c r="C10" s="28" t="n">
        <f aca="false">MC346A!C10</f>
        <v>42</v>
      </c>
      <c r="D10" s="28" t="str">
        <f aca="false">MC346A!D10</f>
        <v>G</v>
      </c>
      <c r="E10" s="20"/>
      <c r="F10" s="20"/>
      <c r="G10" s="20"/>
      <c r="H10" s="20"/>
      <c r="I10" s="20" t="n">
        <f aca="false">SUM(E10:H10)</f>
        <v>0</v>
      </c>
    </row>
    <row r="11" customFormat="false" ht="12.8" hidden="false" customHeight="false" outlineLevel="0" collapsed="false">
      <c r="A11" s="27" t="n">
        <f aca="false">MC346A!A11</f>
        <v>135986</v>
      </c>
      <c r="B11" s="27" t="str">
        <f aca="false">MC346A!B11</f>
        <v>Guilherme Santos Pereira</v>
      </c>
      <c r="C11" s="28" t="n">
        <f aca="false">MC346A!C11</f>
        <v>42</v>
      </c>
      <c r="D11" s="28" t="str">
        <f aca="false">MC346A!D11</f>
        <v>G</v>
      </c>
      <c r="E11" s="20"/>
      <c r="F11" s="20"/>
      <c r="G11" s="20"/>
      <c r="H11" s="20"/>
      <c r="I11" s="20" t="n">
        <f aca="false">SUM(E11:H11)</f>
        <v>0</v>
      </c>
    </row>
    <row r="12" customFormat="false" ht="12.8" hidden="false" customHeight="false" outlineLevel="0" collapsed="false">
      <c r="A12" s="27" t="n">
        <f aca="false">MC346A!A12</f>
        <v>136454</v>
      </c>
      <c r="B12" s="27" t="str">
        <f aca="false">MC346A!B12</f>
        <v>Larissa Dominique Garcia</v>
      </c>
      <c r="C12" s="28" t="n">
        <f aca="false">MC346A!C12</f>
        <v>42</v>
      </c>
      <c r="D12" s="28" t="str">
        <f aca="false">MC346A!D12</f>
        <v>G</v>
      </c>
      <c r="E12" s="20"/>
      <c r="F12" s="20"/>
      <c r="G12" s="20"/>
      <c r="H12" s="20"/>
      <c r="I12" s="20"/>
    </row>
    <row r="13" customFormat="false" ht="12.8" hidden="false" customHeight="false" outlineLevel="0" collapsed="false">
      <c r="A13" s="27" t="n">
        <f aca="false">MC346A!A13</f>
        <v>137733</v>
      </c>
      <c r="B13" s="27" t="str">
        <f aca="false">MC346A!B13</f>
        <v>Tiago Bento Fernandes</v>
      </c>
      <c r="C13" s="28" t="n">
        <f aca="false">MC346A!C13</f>
        <v>42</v>
      </c>
      <c r="D13" s="28" t="str">
        <f aca="false">MC346A!D13</f>
        <v>G</v>
      </c>
      <c r="E13" s="20"/>
      <c r="F13" s="20"/>
      <c r="G13" s="20"/>
      <c r="H13" s="20"/>
      <c r="I13" s="20" t="n">
        <f aca="false">SUM(E13:H13)</f>
        <v>0</v>
      </c>
    </row>
    <row r="14" customFormat="false" ht="12.8" hidden="false" customHeight="false" outlineLevel="0" collapsed="false">
      <c r="A14" s="27" t="n">
        <f aca="false">MC346A!A14</f>
        <v>138745</v>
      </c>
      <c r="B14" s="27" t="str">
        <f aca="false">MC346A!B14</f>
        <v>Lucas Piscello Cosme</v>
      </c>
      <c r="C14" s="28" t="n">
        <f aca="false">MC346A!C14</f>
        <v>42</v>
      </c>
      <c r="D14" s="28" t="str">
        <f aca="false">MC346A!D14</f>
        <v>G</v>
      </c>
      <c r="E14" s="20"/>
      <c r="F14" s="20"/>
      <c r="G14" s="20"/>
      <c r="H14" s="20"/>
      <c r="I14" s="20" t="n">
        <f aca="false">SUM(E14:H14)</f>
        <v>0</v>
      </c>
    </row>
    <row r="15" customFormat="false" ht="12.8" hidden="false" customHeight="false" outlineLevel="0" collapsed="false">
      <c r="A15" s="27" t="n">
        <f aca="false">MC346A!A15</f>
        <v>138771</v>
      </c>
      <c r="B15" s="27" t="str">
        <f aca="false">MC346A!B15</f>
        <v>Luiz Antonio Andia</v>
      </c>
      <c r="C15" s="28" t="n">
        <f aca="false">MC346A!C15</f>
        <v>42</v>
      </c>
      <c r="D15" s="28" t="str">
        <f aca="false">MC346A!D15</f>
        <v>G</v>
      </c>
      <c r="E15" s="20" t="n">
        <v>0.1</v>
      </c>
      <c r="F15" s="20" t="n">
        <v>3.3</v>
      </c>
      <c r="G15" s="20" t="n">
        <v>2.1</v>
      </c>
      <c r="H15" s="20" t="n">
        <v>1.4</v>
      </c>
      <c r="I15" s="20" t="n">
        <f aca="false">SUM(E15:H15)</f>
        <v>6.9</v>
      </c>
    </row>
    <row r="16" customFormat="false" ht="12.8" hidden="false" customHeight="false" outlineLevel="0" collapsed="false">
      <c r="A16" s="27" t="n">
        <f aca="false">MC346A!A16</f>
        <v>145510</v>
      </c>
      <c r="B16" s="27" t="str">
        <f aca="false">MC346A!B16</f>
        <v>Bruno Eiji Okano Yoshida</v>
      </c>
      <c r="C16" s="28" t="n">
        <f aca="false">MC346A!C16</f>
        <v>49</v>
      </c>
      <c r="D16" s="28" t="str">
        <f aca="false">MC346A!D16</f>
        <v>G</v>
      </c>
      <c r="E16" s="20"/>
      <c r="F16" s="20"/>
      <c r="G16" s="20"/>
      <c r="H16" s="20"/>
      <c r="I16" s="20"/>
    </row>
    <row r="17" customFormat="false" ht="12.8" hidden="false" customHeight="false" outlineLevel="0" collapsed="false">
      <c r="A17" s="27" t="n">
        <f aca="false">MC346A!A17</f>
        <v>145552</v>
      </c>
      <c r="B17" s="27" t="str">
        <f aca="false">MC346A!B17</f>
        <v>Caio Cerruti Gonçalves</v>
      </c>
      <c r="C17" s="28" t="n">
        <f aca="false">MC346A!C17</f>
        <v>42</v>
      </c>
      <c r="D17" s="28" t="str">
        <f aca="false">MC346A!D17</f>
        <v>G</v>
      </c>
      <c r="E17" s="20" t="n">
        <v>0.1</v>
      </c>
      <c r="F17" s="20" t="n">
        <v>2.8</v>
      </c>
      <c r="G17" s="20" t="n">
        <v>1.6</v>
      </c>
      <c r="H17" s="20" t="n">
        <v>1.8</v>
      </c>
      <c r="I17" s="20" t="n">
        <f aca="false">SUM(E17:H17)</f>
        <v>6.3</v>
      </c>
    </row>
    <row r="18" customFormat="false" ht="12.8" hidden="false" customHeight="false" outlineLevel="0" collapsed="false">
      <c r="A18" s="27" t="n">
        <f aca="false">MC346A!A18</f>
        <v>145763</v>
      </c>
      <c r="B18" s="27" t="str">
        <f aca="false">MC346A!B18</f>
        <v>Daniel dos Santos Pedroso</v>
      </c>
      <c r="C18" s="28" t="n">
        <f aca="false">MC346A!C18</f>
        <v>49</v>
      </c>
      <c r="D18" s="28" t="str">
        <f aca="false">MC346A!D18</f>
        <v>G</v>
      </c>
      <c r="E18" s="20"/>
      <c r="F18" s="20"/>
      <c r="G18" s="20"/>
      <c r="H18" s="20"/>
      <c r="I18" s="20"/>
    </row>
    <row r="19" customFormat="false" ht="12.8" hidden="false" customHeight="false" outlineLevel="0" collapsed="false">
      <c r="A19" s="27" t="n">
        <f aca="false">MC346A!A19</f>
        <v>146040</v>
      </c>
      <c r="B19" s="27" t="str">
        <f aca="false">MC346A!B19</f>
        <v>Felipe Soares Pires de Carvalho</v>
      </c>
      <c r="C19" s="28" t="n">
        <f aca="false">MC346A!C19</f>
        <v>42</v>
      </c>
      <c r="D19" s="28" t="str">
        <f aca="false">MC346A!D19</f>
        <v>G</v>
      </c>
      <c r="E19" s="20"/>
      <c r="F19" s="20"/>
      <c r="G19" s="20"/>
      <c r="H19" s="20"/>
      <c r="I19" s="20" t="n">
        <f aca="false">SUM(E19:H19)</f>
        <v>0</v>
      </c>
    </row>
    <row r="20" customFormat="false" ht="12.8" hidden="false" customHeight="false" outlineLevel="0" collapsed="false">
      <c r="A20" s="27" t="n">
        <f aca="false">MC346A!A20</f>
        <v>146098</v>
      </c>
      <c r="B20" s="27" t="str">
        <f aca="false">MC346A!B20</f>
        <v>Flavio Matheus Muniz Ribeiro da Silva</v>
      </c>
      <c r="C20" s="28" t="n">
        <f aca="false">MC346A!C20</f>
        <v>34</v>
      </c>
      <c r="D20" s="28" t="str">
        <f aca="false">MC346A!D20</f>
        <v>G</v>
      </c>
      <c r="E20" s="20"/>
      <c r="F20" s="20"/>
      <c r="G20" s="20"/>
      <c r="H20" s="20"/>
      <c r="I20" s="20" t="n">
        <f aca="false">SUM(E20:H20)</f>
        <v>0</v>
      </c>
    </row>
    <row r="21" customFormat="false" ht="12.8" hidden="false" customHeight="false" outlineLevel="0" collapsed="false">
      <c r="A21" s="27" t="n">
        <f aca="false">MC346A!A21</f>
        <v>146310</v>
      </c>
      <c r="B21" s="27" t="str">
        <f aca="false">MC346A!B21</f>
        <v>Guilherme Pereira Gribeler</v>
      </c>
      <c r="C21" s="28" t="n">
        <f aca="false">MC346A!C21</f>
        <v>34</v>
      </c>
      <c r="D21" s="28" t="str">
        <f aca="false">MC346A!D21</f>
        <v>G</v>
      </c>
      <c r="E21" s="20"/>
      <c r="F21" s="20"/>
      <c r="G21" s="20"/>
      <c r="H21" s="20"/>
      <c r="I21" s="20" t="n">
        <f aca="false">SUM(E21:H21)</f>
        <v>0</v>
      </c>
    </row>
    <row r="22" customFormat="false" ht="12.8" hidden="false" customHeight="false" outlineLevel="0" collapsed="false">
      <c r="A22" s="27" t="n">
        <f aca="false">MC346A!A22</f>
        <v>146318</v>
      </c>
      <c r="B22" s="27" t="str">
        <f aca="false">MC346A!B22</f>
        <v>Guilherme Rodrigues Bueno</v>
      </c>
      <c r="C22" s="28" t="n">
        <f aca="false">MC346A!C22</f>
        <v>42</v>
      </c>
      <c r="D22" s="28" t="str">
        <f aca="false">MC346A!D22</f>
        <v>G</v>
      </c>
      <c r="E22" s="20"/>
      <c r="F22" s="20"/>
      <c r="G22" s="20"/>
      <c r="H22" s="20"/>
      <c r="I22" s="20" t="n">
        <f aca="false">SUM(E22:H22)</f>
        <v>0</v>
      </c>
    </row>
    <row r="23" customFormat="false" ht="12.8" hidden="false" customHeight="false" outlineLevel="0" collapsed="false">
      <c r="A23" s="27" t="n">
        <f aca="false">MC346A!A23</f>
        <v>146383</v>
      </c>
      <c r="B23" s="27" t="str">
        <f aca="false">MC346A!B23</f>
        <v>Heitor Banhete Raymundo</v>
      </c>
      <c r="C23" s="28" t="n">
        <f aca="false">MC346A!C23</f>
        <v>42</v>
      </c>
      <c r="D23" s="28" t="str">
        <f aca="false">MC346A!D23</f>
        <v>G</v>
      </c>
      <c r="E23" s="20"/>
      <c r="F23" s="20"/>
      <c r="G23" s="20"/>
      <c r="H23" s="20"/>
      <c r="I23" s="20"/>
    </row>
    <row r="24" customFormat="false" ht="12.8" hidden="false" customHeight="false" outlineLevel="0" collapsed="false">
      <c r="A24" s="27" t="n">
        <f aca="false">MC346A!A24</f>
        <v>146752</v>
      </c>
      <c r="B24" s="27" t="str">
        <f aca="false">MC346A!B24</f>
        <v>Julio Barros de Paula</v>
      </c>
      <c r="C24" s="28" t="n">
        <f aca="false">MC346A!C24</f>
        <v>42</v>
      </c>
      <c r="D24" s="28" t="str">
        <f aca="false">MC346A!D24</f>
        <v>G</v>
      </c>
      <c r="E24" s="20"/>
      <c r="F24" s="20"/>
      <c r="G24" s="20"/>
      <c r="H24" s="20"/>
      <c r="I24" s="20" t="n">
        <f aca="false">SUM(E24:H24)</f>
        <v>0</v>
      </c>
    </row>
    <row r="25" customFormat="false" ht="12.8" hidden="false" customHeight="false" outlineLevel="0" collapsed="false">
      <c r="A25" s="27" t="n">
        <f aca="false">MC346A!A25</f>
        <v>147338</v>
      </c>
      <c r="B25" s="27" t="str">
        <f aca="false">MC346A!B25</f>
        <v>Mateus Augusto Bellomo Agrello Ruivo</v>
      </c>
      <c r="C25" s="28" t="n">
        <f aca="false">MC346A!C25</f>
        <v>42</v>
      </c>
      <c r="D25" s="28" t="str">
        <f aca="false">MC346A!D25</f>
        <v>G</v>
      </c>
      <c r="E25" s="20"/>
      <c r="F25" s="20"/>
      <c r="G25" s="20"/>
      <c r="H25" s="20"/>
      <c r="I25" s="20" t="n">
        <f aca="false">SUM(E25:H25)</f>
        <v>0</v>
      </c>
    </row>
    <row r="26" customFormat="false" ht="12.8" hidden="false" customHeight="false" outlineLevel="0" collapsed="false">
      <c r="A26" s="27" t="n">
        <f aca="false">MC346A!A26</f>
        <v>148246</v>
      </c>
      <c r="B26" s="27" t="str">
        <f aca="false">MC346A!B26</f>
        <v>Wilson Novais Martins</v>
      </c>
      <c r="C26" s="28" t="n">
        <f aca="false">MC346A!C26</f>
        <v>42</v>
      </c>
      <c r="D26" s="28" t="str">
        <f aca="false">MC346A!D26</f>
        <v>G</v>
      </c>
      <c r="E26" s="20"/>
      <c r="F26" s="20"/>
      <c r="G26" s="20"/>
      <c r="H26" s="20"/>
      <c r="I26" s="20" t="n">
        <f aca="false">SUM(E26:H26)</f>
        <v>0</v>
      </c>
    </row>
    <row r="27" customFormat="false" ht="12.8" hidden="false" customHeight="false" outlineLevel="0" collapsed="false">
      <c r="A27" s="27" t="n">
        <f aca="false">MC346A!A27</f>
        <v>148387</v>
      </c>
      <c r="B27" s="27" t="str">
        <f aca="false">MC346A!B27</f>
        <v>Bruno Masetto Sander</v>
      </c>
      <c r="C27" s="28" t="n">
        <f aca="false">MC346A!C27</f>
        <v>42</v>
      </c>
      <c r="D27" s="28" t="str">
        <f aca="false">MC346A!D27</f>
        <v>G</v>
      </c>
      <c r="E27" s="20"/>
      <c r="F27" s="20"/>
      <c r="G27" s="20"/>
      <c r="H27" s="20"/>
      <c r="I27" s="20"/>
    </row>
    <row r="28" customFormat="false" ht="12.8" hidden="false" customHeight="false" outlineLevel="0" collapsed="false">
      <c r="A28" s="27" t="n">
        <f aca="false">MC346A!A28</f>
        <v>149014</v>
      </c>
      <c r="B28" s="27" t="str">
        <f aca="false">MC346A!B28</f>
        <v>Tiago Abreu Munarolo</v>
      </c>
      <c r="C28" s="28" t="n">
        <f aca="false">MC346A!C28</f>
        <v>34</v>
      </c>
      <c r="D28" s="28" t="str">
        <f aca="false">MC346A!D28</f>
        <v>G</v>
      </c>
      <c r="E28" s="20"/>
      <c r="F28" s="20"/>
      <c r="G28" s="20"/>
      <c r="H28" s="20"/>
      <c r="I28" s="20"/>
    </row>
    <row r="29" customFormat="false" ht="12.8" hidden="false" customHeight="false" outlineLevel="0" collapsed="false">
      <c r="A29" s="27" t="n">
        <f aca="false">MC346A!A29</f>
        <v>150604</v>
      </c>
      <c r="B29" s="27" t="str">
        <f aca="false">MC346A!B29</f>
        <v>Denis de Almeida Oliveira</v>
      </c>
      <c r="C29" s="28" t="n">
        <f aca="false">MC346A!C29</f>
        <v>42</v>
      </c>
      <c r="D29" s="28" t="str">
        <f aca="false">MC346A!D29</f>
        <v>G</v>
      </c>
      <c r="E29" s="20"/>
      <c r="F29" s="20"/>
      <c r="G29" s="20"/>
      <c r="H29" s="20"/>
      <c r="I29" s="20" t="n">
        <f aca="false">SUM(E29:H29)</f>
        <v>0</v>
      </c>
    </row>
    <row r="30" customFormat="false" ht="12.8" hidden="false" customHeight="false" outlineLevel="0" collapsed="false">
      <c r="A30" s="27" t="n">
        <f aca="false">MC346A!A30</f>
        <v>150630</v>
      </c>
      <c r="B30" s="27" t="str">
        <f aca="false">MC346A!B30</f>
        <v>Gabriel Otero</v>
      </c>
      <c r="C30" s="28" t="n">
        <f aca="false">MC346A!C30</f>
        <v>42</v>
      </c>
      <c r="D30" s="28" t="str">
        <f aca="false">MC346A!D30</f>
        <v>G</v>
      </c>
      <c r="E30" s="20"/>
      <c r="F30" s="20"/>
      <c r="G30" s="20"/>
      <c r="H30" s="20"/>
      <c r="I30" s="20" t="n">
        <f aca="false">SUM(E30:H30)</f>
        <v>0</v>
      </c>
    </row>
    <row r="31" customFormat="false" ht="12.8" hidden="false" customHeight="false" outlineLevel="0" collapsed="false">
      <c r="A31" s="27" t="n">
        <f aca="false">MC346A!A31</f>
        <v>155299</v>
      </c>
      <c r="B31" s="27" t="str">
        <f aca="false">MC346A!B31</f>
        <v>Felipe dal Mas Eulalio</v>
      </c>
      <c r="C31" s="28" t="n">
        <f aca="false">MC346A!C31</f>
        <v>42</v>
      </c>
      <c r="D31" s="28" t="str">
        <f aca="false">MC346A!D31</f>
        <v>G</v>
      </c>
      <c r="E31" s="20" t="n">
        <v>0.1</v>
      </c>
      <c r="F31" s="20" t="n">
        <v>1.8</v>
      </c>
      <c r="G31" s="20" t="n">
        <v>2.9</v>
      </c>
      <c r="H31" s="20" t="n">
        <v>3.3</v>
      </c>
      <c r="I31" s="20" t="n">
        <f aca="false">SUM(E31:H31)</f>
        <v>8.1</v>
      </c>
    </row>
    <row r="32" customFormat="false" ht="12.8" hidden="false" customHeight="false" outlineLevel="0" collapsed="false">
      <c r="A32" s="27" t="n">
        <f aca="false">MC346A!A32</f>
        <v>155646</v>
      </c>
      <c r="B32" s="27" t="str">
        <f aca="false">MC346A!B32</f>
        <v>Gunter Mingato de Oliveira</v>
      </c>
      <c r="C32" s="28" t="n">
        <f aca="false">MC346A!C32</f>
        <v>34</v>
      </c>
      <c r="D32" s="28" t="str">
        <f aca="false">MC346A!D32</f>
        <v>G</v>
      </c>
      <c r="E32" s="20" t="n">
        <v>0.1</v>
      </c>
      <c r="F32" s="20" t="n">
        <v>2.8</v>
      </c>
      <c r="G32" s="20" t="n">
        <v>1.4</v>
      </c>
      <c r="H32" s="20" t="n">
        <v>2.3</v>
      </c>
      <c r="I32" s="20" t="n">
        <f aca="false">SUM(E32:H32)</f>
        <v>6.6</v>
      </c>
    </row>
    <row r="33" customFormat="false" ht="12.8" hidden="false" customHeight="false" outlineLevel="0" collapsed="false">
      <c r="A33" s="27" t="n">
        <f aca="false">MC346A!A33</f>
        <v>155943</v>
      </c>
      <c r="B33" s="27" t="str">
        <f aca="false">MC346A!B33</f>
        <v>João Víctor Brazileu Spuri</v>
      </c>
      <c r="C33" s="28" t="n">
        <f aca="false">MC346A!C33</f>
        <v>42</v>
      </c>
      <c r="D33" s="28" t="str">
        <f aca="false">MC346A!D33</f>
        <v>G</v>
      </c>
      <c r="E33" s="20"/>
      <c r="F33" s="20"/>
      <c r="G33" s="20"/>
      <c r="H33" s="20"/>
      <c r="I33" s="20" t="n">
        <f aca="false">SUM(E33:H33)</f>
        <v>0</v>
      </c>
    </row>
    <row r="34" customFormat="false" ht="12.8" hidden="false" customHeight="false" outlineLevel="0" collapsed="false">
      <c r="A34" s="27" t="n">
        <f aca="false">MC346A!A34</f>
        <v>155976</v>
      </c>
      <c r="B34" s="27" t="str">
        <f aca="false">MC346A!B34</f>
        <v>Jose Henrique Ferreira Pinto</v>
      </c>
      <c r="C34" s="28" t="n">
        <f aca="false">MC346A!C34</f>
        <v>42</v>
      </c>
      <c r="D34" s="28" t="str">
        <f aca="false">MC346A!D34</f>
        <v>G</v>
      </c>
      <c r="E34" s="20"/>
      <c r="F34" s="20"/>
      <c r="G34" s="20"/>
      <c r="H34" s="20"/>
      <c r="I34" s="20" t="n">
        <f aca="false">SUM(E34:H34)</f>
        <v>0</v>
      </c>
    </row>
    <row r="35" customFormat="false" ht="12.8" hidden="false" customHeight="false" outlineLevel="0" collapsed="false">
      <c r="A35" s="27" t="n">
        <f aca="false">MC346A!A35</f>
        <v>156362</v>
      </c>
      <c r="B35" s="27" t="str">
        <f aca="false">MC346A!B35</f>
        <v>Lucas Gabriel Silverio de Freitas</v>
      </c>
      <c r="C35" s="28" t="n">
        <f aca="false">MC346A!C35</f>
        <v>34</v>
      </c>
      <c r="D35" s="28" t="str">
        <f aca="false">MC346A!D35</f>
        <v>G</v>
      </c>
      <c r="E35" s="20"/>
      <c r="F35" s="20"/>
      <c r="G35" s="20"/>
      <c r="H35" s="20"/>
      <c r="I35" s="20"/>
    </row>
    <row r="36" customFormat="false" ht="12.8" hidden="false" customHeight="false" outlineLevel="0" collapsed="false">
      <c r="A36" s="27" t="n">
        <f aca="false">MC346A!A36</f>
        <v>156405</v>
      </c>
      <c r="B36" s="27" t="str">
        <f aca="false">MC346A!B36</f>
        <v>Lucas Rodolfo de Castro Moura</v>
      </c>
      <c r="C36" s="28" t="n">
        <f aca="false">MC346A!C36</f>
        <v>42</v>
      </c>
      <c r="D36" s="28" t="str">
        <f aca="false">MC346A!D36</f>
        <v>G</v>
      </c>
      <c r="E36" s="20"/>
      <c r="F36" s="20"/>
      <c r="G36" s="20"/>
      <c r="H36" s="20"/>
      <c r="I36" s="20"/>
    </row>
    <row r="37" customFormat="false" ht="12.8" hidden="false" customHeight="false" outlineLevel="0" collapsed="false">
      <c r="A37" s="27" t="n">
        <f aca="false">MC346A!A37</f>
        <v>158336</v>
      </c>
      <c r="B37" s="27" t="str">
        <f aca="false">MC346A!B37</f>
        <v>Pedro Gabriel Martins Ono</v>
      </c>
      <c r="C37" s="28" t="n">
        <f aca="false">MC346A!C37</f>
        <v>34</v>
      </c>
      <c r="D37" s="28" t="str">
        <f aca="false">MC346A!D37</f>
        <v>G</v>
      </c>
      <c r="E37" s="20"/>
      <c r="F37" s="20"/>
      <c r="G37" s="20"/>
      <c r="H37" s="20"/>
      <c r="I37" s="20"/>
    </row>
    <row r="38" customFormat="false" ht="12.8" hidden="false" customHeight="false" outlineLevel="0" collapsed="false">
      <c r="A38" s="27" t="n">
        <f aca="false">MC346A!A38</f>
        <v>160013</v>
      </c>
      <c r="B38" s="27" t="str">
        <f aca="false">MC346A!B38</f>
        <v>Victor Fontana Saez</v>
      </c>
      <c r="C38" s="28" t="n">
        <f aca="false">MC346A!C38</f>
        <v>34</v>
      </c>
      <c r="D38" s="28" t="str">
        <f aca="false">MC346A!D38</f>
        <v>G</v>
      </c>
      <c r="E38" s="20"/>
      <c r="F38" s="20"/>
      <c r="G38" s="20"/>
      <c r="H38" s="20"/>
      <c r="I38" s="20"/>
    </row>
    <row r="39" customFormat="false" ht="12.8" hidden="false" customHeight="false" outlineLevel="0" collapsed="false">
      <c r="A39" s="27" t="n">
        <f aca="false">MC346A!A39</f>
        <v>160160</v>
      </c>
      <c r="B39" s="27" t="str">
        <f aca="false">MC346A!B39</f>
        <v>Guilherme Furlan</v>
      </c>
      <c r="C39" s="28" t="n">
        <f aca="false">MC346A!C39</f>
        <v>42</v>
      </c>
      <c r="D39" s="28" t="str">
        <f aca="false">MC346A!D39</f>
        <v>G</v>
      </c>
      <c r="E39" s="20"/>
      <c r="F39" s="20"/>
      <c r="G39" s="20"/>
      <c r="H39" s="20"/>
      <c r="I39" s="20"/>
    </row>
    <row r="40" customFormat="false" ht="12.8" hidden="false" customHeight="false" outlineLevel="0" collapsed="false">
      <c r="A40" s="27" t="n">
        <f aca="false">MC346A!A40</f>
        <v>164213</v>
      </c>
      <c r="B40" s="27" t="str">
        <f aca="false">MC346A!B40</f>
        <v>Andreza Aparecida dos Santos</v>
      </c>
      <c r="C40" s="28" t="n">
        <f aca="false">MC346A!C40</f>
        <v>34</v>
      </c>
      <c r="D40" s="28" t="str">
        <f aca="false">MC346A!D40</f>
        <v>G</v>
      </c>
      <c r="E40" s="20"/>
      <c r="F40" s="20"/>
      <c r="G40" s="20"/>
      <c r="H40" s="20"/>
      <c r="I40" s="20" t="n">
        <f aca="false">SUM(E40:H40)</f>
        <v>0</v>
      </c>
    </row>
    <row r="41" customFormat="false" ht="12.8" hidden="false" customHeight="false" outlineLevel="0" collapsed="false">
      <c r="A41" s="27" t="n">
        <f aca="false">MC346A!A41</f>
        <v>164468</v>
      </c>
      <c r="B41" s="27" t="str">
        <f aca="false">MC346A!B41</f>
        <v>Artur Eiji Suguinoshita Aciole</v>
      </c>
      <c r="C41" s="28" t="n">
        <f aca="false">MC346A!C41</f>
        <v>42</v>
      </c>
      <c r="D41" s="28" t="str">
        <f aca="false">MC346A!D41</f>
        <v>G</v>
      </c>
      <c r="E41" s="20"/>
      <c r="F41" s="20"/>
      <c r="G41" s="20"/>
      <c r="H41" s="20"/>
      <c r="I41" s="20" t="n">
        <f aca="false">SUM(E41:H41)</f>
        <v>0</v>
      </c>
    </row>
    <row r="42" customFormat="false" ht="12.8" hidden="false" customHeight="false" outlineLevel="0" collapsed="false">
      <c r="A42" s="27" t="n">
        <f aca="false">MC346A!A42</f>
        <v>164700</v>
      </c>
      <c r="B42" s="27" t="str">
        <f aca="false">MC346A!B42</f>
        <v>Beatriz Inácio dos Santos</v>
      </c>
      <c r="C42" s="28" t="n">
        <f aca="false">MC346A!C42</f>
        <v>42</v>
      </c>
      <c r="D42" s="28" t="str">
        <f aca="false">MC346A!D42</f>
        <v>G</v>
      </c>
      <c r="E42" s="20"/>
      <c r="F42" s="20"/>
      <c r="G42" s="20"/>
      <c r="H42" s="20"/>
      <c r="I42" s="20"/>
    </row>
    <row r="43" customFormat="false" ht="12.8" hidden="false" customHeight="false" outlineLevel="0" collapsed="false">
      <c r="A43" s="27" t="n">
        <f aca="false">MC346A!A43</f>
        <v>166082</v>
      </c>
      <c r="B43" s="27" t="str">
        <f aca="false">MC346A!B43</f>
        <v>Clara Pompeu de Sousa Brasil Carneiro</v>
      </c>
      <c r="C43" s="28" t="n">
        <f aca="false">MC346A!C43</f>
        <v>34</v>
      </c>
      <c r="D43" s="28" t="str">
        <f aca="false">MC346A!D43</f>
        <v>G</v>
      </c>
      <c r="E43" s="20"/>
      <c r="F43" s="20"/>
      <c r="G43" s="20"/>
      <c r="H43" s="20"/>
      <c r="I43" s="20"/>
    </row>
    <row r="44" customFormat="false" ht="12.8" hidden="false" customHeight="false" outlineLevel="0" collapsed="false">
      <c r="A44" s="27" t="n">
        <f aca="false">MC346A!A44</f>
        <v>166213</v>
      </c>
      <c r="B44" s="27" t="str">
        <f aca="false">MC346A!B44</f>
        <v>Daniel Godoy Marques</v>
      </c>
      <c r="C44" s="28" t="n">
        <f aca="false">MC346A!C44</f>
        <v>42</v>
      </c>
      <c r="D44" s="28" t="str">
        <f aca="false">MC346A!D44</f>
        <v>G</v>
      </c>
      <c r="E44" s="20" t="n">
        <v>0.1</v>
      </c>
      <c r="F44" s="20" t="n">
        <v>2.3</v>
      </c>
      <c r="G44" s="20" t="n">
        <v>0.3</v>
      </c>
      <c r="H44" s="20" t="n">
        <v>1.2</v>
      </c>
      <c r="I44" s="20" t="n">
        <f aca="false">SUM(E44:H44)</f>
        <v>3.9</v>
      </c>
    </row>
    <row r="45" customFormat="false" ht="12.8" hidden="false" customHeight="false" outlineLevel="0" collapsed="false">
      <c r="A45" s="27" t="n">
        <f aca="false">MC346A!A45</f>
        <v>166249</v>
      </c>
      <c r="B45" s="27" t="str">
        <f aca="false">MC346A!B45</f>
        <v>Daniel Pereira Rodrigues</v>
      </c>
      <c r="C45" s="28" t="n">
        <f aca="false">MC346A!C45</f>
        <v>42</v>
      </c>
      <c r="D45" s="28" t="str">
        <f aca="false">MC346A!D45</f>
        <v>G</v>
      </c>
      <c r="E45" s="20"/>
      <c r="F45" s="20"/>
      <c r="G45" s="20"/>
      <c r="H45" s="20"/>
      <c r="I45" s="20" t="n">
        <f aca="false">SUM(E45:H45)</f>
        <v>0</v>
      </c>
    </row>
    <row r="46" customFormat="false" ht="12.8" hidden="false" customHeight="false" outlineLevel="0" collapsed="false">
      <c r="A46" s="27" t="n">
        <f aca="false">MC346A!A46</f>
        <v>168357</v>
      </c>
      <c r="B46" s="27" t="str">
        <f aca="false">MC346A!B46</f>
        <v>Gabriela Pereira Neri</v>
      </c>
      <c r="C46" s="28" t="n">
        <f aca="false">MC346A!C46</f>
        <v>42</v>
      </c>
      <c r="D46" s="28" t="str">
        <f aca="false">MC346A!D46</f>
        <v>G</v>
      </c>
      <c r="E46" s="20"/>
      <c r="F46" s="20"/>
      <c r="G46" s="20"/>
      <c r="H46" s="20"/>
      <c r="I46" s="20"/>
    </row>
    <row r="47" customFormat="false" ht="12.8" hidden="false" customHeight="false" outlineLevel="0" collapsed="false">
      <c r="A47" s="27" t="n">
        <f aca="false">MC346A!A47</f>
        <v>168891</v>
      </c>
      <c r="B47" s="27" t="str">
        <f aca="false">MC346A!B47</f>
        <v>Guilherme Alves Valarini</v>
      </c>
      <c r="C47" s="28" t="n">
        <f aca="false">MC346A!C47</f>
        <v>42</v>
      </c>
      <c r="D47" s="28" t="str">
        <f aca="false">MC346A!D47</f>
        <v>G</v>
      </c>
      <c r="E47" s="20"/>
      <c r="F47" s="20"/>
      <c r="G47" s="20"/>
      <c r="H47" s="20"/>
      <c r="I47" s="20" t="n">
        <f aca="false">SUM(E47:H47)</f>
        <v>0</v>
      </c>
    </row>
    <row r="48" customFormat="false" ht="12.8" hidden="false" customHeight="false" outlineLevel="0" collapsed="false">
      <c r="A48" s="27" t="n">
        <f aca="false">MC346A!A48</f>
        <v>169621</v>
      </c>
      <c r="B48" s="27" t="str">
        <f aca="false">MC346A!B48</f>
        <v>Henrique Machado Gonçalves</v>
      </c>
      <c r="C48" s="28" t="n">
        <f aca="false">MC346A!C48</f>
        <v>42</v>
      </c>
      <c r="D48" s="28" t="str">
        <f aca="false">MC346A!D48</f>
        <v>G</v>
      </c>
      <c r="E48" s="20"/>
      <c r="F48" s="20"/>
      <c r="G48" s="20"/>
      <c r="H48" s="20"/>
      <c r="I48" s="20" t="n">
        <f aca="false">SUM(E48:H48)</f>
        <v>0</v>
      </c>
    </row>
    <row r="49" customFormat="false" ht="12.8" hidden="false" customHeight="false" outlineLevel="0" collapsed="false">
      <c r="A49" s="27" t="n">
        <f aca="false">MC346A!A49</f>
        <v>169820</v>
      </c>
      <c r="B49" s="27" t="str">
        <f aca="false">MC346A!B49</f>
        <v>Igor Matheus Andrade Torrente</v>
      </c>
      <c r="C49" s="28" t="n">
        <f aca="false">MC346A!C49</f>
        <v>42</v>
      </c>
      <c r="D49" s="28" t="str">
        <f aca="false">MC346A!D49</f>
        <v>G</v>
      </c>
      <c r="E49" s="20"/>
      <c r="F49" s="20"/>
      <c r="G49" s="20"/>
      <c r="H49" s="20"/>
      <c r="I49" s="20" t="n">
        <f aca="false">SUM(E49:H49)</f>
        <v>0</v>
      </c>
    </row>
    <row r="50" customFormat="false" ht="12.8" hidden="false" customHeight="false" outlineLevel="0" collapsed="false">
      <c r="A50" s="27" t="n">
        <f aca="false">MC346A!A50</f>
        <v>170207</v>
      </c>
      <c r="B50" s="27" t="str">
        <f aca="false">MC346A!B50</f>
        <v>Italo Nicola Ponce Pasini Judice Neto</v>
      </c>
      <c r="C50" s="28" t="n">
        <f aca="false">MC346A!C50</f>
        <v>42</v>
      </c>
      <c r="D50" s="28" t="str">
        <f aca="false">MC346A!D50</f>
        <v>G</v>
      </c>
      <c r="E50" s="20"/>
      <c r="F50" s="20"/>
      <c r="G50" s="20"/>
      <c r="H50" s="20"/>
      <c r="I50" s="20" t="n">
        <f aca="false">SUM(E50:H50)</f>
        <v>0</v>
      </c>
    </row>
    <row r="51" customFormat="false" ht="12.8" hidden="false" customHeight="false" outlineLevel="0" collapsed="false">
      <c r="A51" s="27" t="n">
        <f aca="false">MC346A!A51</f>
        <v>170710</v>
      </c>
      <c r="B51" s="27" t="str">
        <f aca="false">MC346A!B51</f>
        <v>João Victor Fernandes Silva</v>
      </c>
      <c r="C51" s="28" t="n">
        <f aca="false">MC346A!C51</f>
        <v>34</v>
      </c>
      <c r="D51" s="28" t="str">
        <f aca="false">MC346A!D51</f>
        <v>G</v>
      </c>
      <c r="E51" s="20" t="n">
        <v>0.1</v>
      </c>
      <c r="F51" s="20" t="n">
        <v>3.3</v>
      </c>
      <c r="G51" s="20" t="n">
        <v>1.1</v>
      </c>
      <c r="H51" s="20" t="n">
        <v>2.3</v>
      </c>
      <c r="I51" s="20" t="n">
        <f aca="false">SUM(E51:H51)</f>
        <v>6.8</v>
      </c>
    </row>
    <row r="52" customFormat="false" ht="12.8" hidden="false" customHeight="false" outlineLevel="0" collapsed="false">
      <c r="A52" s="27" t="n">
        <f aca="false">MC346A!A52</f>
        <v>171866</v>
      </c>
      <c r="B52" s="27" t="str">
        <f aca="false">MC346A!B52</f>
        <v>Leila Pompeu Zwanziger</v>
      </c>
      <c r="C52" s="28" t="n">
        <f aca="false">MC346A!C52</f>
        <v>42</v>
      </c>
      <c r="D52" s="28" t="str">
        <f aca="false">MC346A!D52</f>
        <v>G</v>
      </c>
      <c r="E52" s="20"/>
      <c r="F52" s="20"/>
      <c r="G52" s="20"/>
      <c r="H52" s="20"/>
      <c r="I52" s="20" t="n">
        <f aca="false">SUM(E52:H52)</f>
        <v>0</v>
      </c>
    </row>
    <row r="53" customFormat="false" ht="12.8" hidden="false" customHeight="false" outlineLevel="0" collapsed="false">
      <c r="A53" s="27" t="n">
        <f aca="false">MC346A!A53</f>
        <v>172017</v>
      </c>
      <c r="B53" s="27" t="str">
        <f aca="false">MC346A!B53</f>
        <v>Leonardo Maldonado Pagnez</v>
      </c>
      <c r="C53" s="28" t="n">
        <f aca="false">MC346A!C53</f>
        <v>34</v>
      </c>
      <c r="D53" s="28" t="str">
        <f aca="false">MC346A!D53</f>
        <v>G</v>
      </c>
      <c r="E53" s="20" t="n">
        <v>0.1</v>
      </c>
      <c r="F53" s="20" t="n">
        <v>2.3</v>
      </c>
      <c r="G53" s="20" t="n">
        <v>2.1</v>
      </c>
      <c r="H53" s="20" t="n">
        <v>3.3</v>
      </c>
      <c r="I53" s="20" t="n">
        <f aca="false">SUM(E53:H53)</f>
        <v>7.8</v>
      </c>
    </row>
    <row r="54" customFormat="false" ht="12.8" hidden="false" customHeight="false" outlineLevel="0" collapsed="false">
      <c r="A54" s="27" t="n">
        <f aca="false">MC346A!A54</f>
        <v>172519</v>
      </c>
      <c r="B54" s="27" t="str">
        <f aca="false">MC346A!B54</f>
        <v>Luara Peres Oliveira da Silva</v>
      </c>
      <c r="C54" s="28" t="n">
        <f aca="false">MC346A!C54</f>
        <v>42</v>
      </c>
      <c r="D54" s="28" t="str">
        <f aca="false">MC346A!D54</f>
        <v>G</v>
      </c>
      <c r="E54" s="20" t="n">
        <v>0.1</v>
      </c>
      <c r="F54" s="20" t="n">
        <v>1.8</v>
      </c>
      <c r="G54" s="20" t="n">
        <v>3.1</v>
      </c>
      <c r="H54" s="20" t="n">
        <v>3.3</v>
      </c>
      <c r="I54" s="20" t="n">
        <f aca="false">SUM(E54:H54)</f>
        <v>8.3</v>
      </c>
    </row>
    <row r="55" customFormat="false" ht="12.8" hidden="false" customHeight="false" outlineLevel="0" collapsed="false">
      <c r="A55" s="27" t="n">
        <f aca="false">MC346A!A55</f>
        <v>172608</v>
      </c>
      <c r="B55" s="27" t="str">
        <f aca="false">MC346A!B55</f>
        <v>Lucas Brito Ferreira Matos</v>
      </c>
      <c r="C55" s="28" t="n">
        <f aca="false">MC346A!C55</f>
        <v>42</v>
      </c>
      <c r="D55" s="28" t="str">
        <f aca="false">MC346A!D55</f>
        <v>G</v>
      </c>
      <c r="E55" s="20"/>
      <c r="F55" s="20"/>
      <c r="G55" s="20"/>
      <c r="H55" s="20"/>
      <c r="I55" s="20" t="n">
        <f aca="false">SUM(E55:H55)</f>
        <v>0</v>
      </c>
    </row>
    <row r="56" customFormat="false" ht="12.8" hidden="false" customHeight="false" outlineLevel="0" collapsed="false">
      <c r="A56" s="27" t="n">
        <f aca="false">MC346A!A56</f>
        <v>172655</v>
      </c>
      <c r="B56" s="27" t="str">
        <f aca="false">MC346A!B56</f>
        <v>Lucas Cunha Agustini</v>
      </c>
      <c r="C56" s="28" t="n">
        <f aca="false">MC346A!C56</f>
        <v>42</v>
      </c>
      <c r="D56" s="28" t="str">
        <f aca="false">MC346A!D56</f>
        <v>G</v>
      </c>
      <c r="E56" s="20"/>
      <c r="F56" s="20"/>
      <c r="G56" s="20"/>
      <c r="H56" s="20"/>
      <c r="I56" s="20" t="n">
        <f aca="false">SUM(E56:H56)</f>
        <v>0</v>
      </c>
    </row>
    <row r="57" customFormat="false" ht="12.8" hidden="false" customHeight="false" outlineLevel="0" collapsed="false">
      <c r="A57" s="27" t="n">
        <f aca="false">MC346A!A57</f>
        <v>173728</v>
      </c>
      <c r="B57" s="27" t="str">
        <f aca="false">MC346A!B57</f>
        <v>Marcus Danilo Leite Rodrigues</v>
      </c>
      <c r="C57" s="28" t="n">
        <f aca="false">MC346A!C57</f>
        <v>34</v>
      </c>
      <c r="D57" s="28" t="str">
        <f aca="false">MC346A!D57</f>
        <v>G</v>
      </c>
      <c r="E57" s="20"/>
      <c r="F57" s="20"/>
      <c r="G57" s="20"/>
      <c r="H57" s="20"/>
      <c r="I57" s="20"/>
    </row>
    <row r="58" customFormat="false" ht="12.8" hidden="false" customHeight="false" outlineLevel="0" collapsed="false">
      <c r="A58" s="27" t="n">
        <f aca="false">MC346A!A58</f>
        <v>174233</v>
      </c>
      <c r="B58" s="27" t="str">
        <f aca="false">MC346A!B58</f>
        <v>Marina Miranda Aranha</v>
      </c>
      <c r="C58" s="28" t="n">
        <f aca="false">MC346A!C58</f>
        <v>42</v>
      </c>
      <c r="D58" s="28" t="str">
        <f aca="false">MC346A!D58</f>
        <v>G</v>
      </c>
      <c r="E58" s="20" t="n">
        <v>0.1</v>
      </c>
      <c r="F58" s="20" t="n">
        <v>2.3</v>
      </c>
      <c r="G58" s="20" t="n">
        <v>2.6</v>
      </c>
      <c r="H58" s="20" t="n">
        <v>1.3</v>
      </c>
      <c r="I58" s="20" t="n">
        <f aca="false">SUM(E58:H58)</f>
        <v>6.3</v>
      </c>
    </row>
    <row r="59" customFormat="false" ht="12.8" hidden="false" customHeight="false" outlineLevel="0" collapsed="false">
      <c r="A59" s="27" t="n">
        <f aca="false">MC346A!A59</f>
        <v>174847</v>
      </c>
      <c r="B59" s="27" t="str">
        <f aca="false">MC346A!B59</f>
        <v>Miguel Augusto Silva Guida</v>
      </c>
      <c r="C59" s="28" t="n">
        <f aca="false">MC346A!C59</f>
        <v>42</v>
      </c>
      <c r="D59" s="28" t="str">
        <f aca="false">MC346A!D59</f>
        <v>G</v>
      </c>
      <c r="E59" s="20"/>
      <c r="F59" s="20"/>
      <c r="G59" s="20"/>
      <c r="H59" s="20"/>
      <c r="I59" s="20"/>
    </row>
    <row r="60" customFormat="false" ht="12.8" hidden="false" customHeight="false" outlineLevel="0" collapsed="false">
      <c r="A60" s="27" t="n">
        <f aca="false">MC346A!A60</f>
        <v>175828</v>
      </c>
      <c r="B60" s="27" t="str">
        <f aca="false">MC346A!B60</f>
        <v>Pedro Hideaki Uiechi Chinen</v>
      </c>
      <c r="C60" s="28" t="n">
        <f aca="false">MC346A!C60</f>
        <v>42</v>
      </c>
      <c r="D60" s="28" t="str">
        <f aca="false">MC346A!D60</f>
        <v>G</v>
      </c>
      <c r="E60" s="20"/>
      <c r="F60" s="20"/>
      <c r="G60" s="20"/>
      <c r="H60" s="20"/>
      <c r="I60" s="20" t="n">
        <f aca="false">SUM(E60:H60)</f>
        <v>0</v>
      </c>
    </row>
    <row r="61" customFormat="false" ht="12.8" hidden="false" customHeight="false" outlineLevel="0" collapsed="false">
      <c r="A61" s="27" t="n">
        <f aca="false">MC346A!A61</f>
        <v>175955</v>
      </c>
      <c r="B61" s="27" t="str">
        <f aca="false">MC346A!B61</f>
        <v>Pedro Stramantinoli Pires Cagliume Gomes</v>
      </c>
      <c r="C61" s="28" t="n">
        <f aca="false">MC346A!C61</f>
        <v>34</v>
      </c>
      <c r="D61" s="28" t="str">
        <f aca="false">MC346A!D61</f>
        <v>G</v>
      </c>
      <c r="E61" s="20"/>
      <c r="F61" s="20"/>
      <c r="G61" s="20"/>
      <c r="H61" s="20"/>
      <c r="I61" s="20"/>
    </row>
    <row r="62" customFormat="false" ht="12.8" hidden="false" customHeight="false" outlineLevel="0" collapsed="false">
      <c r="A62" s="27" t="n">
        <f aca="false">MC346A!A62</f>
        <v>176081</v>
      </c>
      <c r="B62" s="27" t="str">
        <f aca="false">MC346A!B62</f>
        <v>Rafael Bueno Lamarques Alves</v>
      </c>
      <c r="C62" s="28" t="n">
        <f aca="false">MC346A!C62</f>
        <v>42</v>
      </c>
      <c r="D62" s="28" t="str">
        <f aca="false">MC346A!D62</f>
        <v>G</v>
      </c>
      <c r="E62" s="20"/>
      <c r="F62" s="20"/>
      <c r="G62" s="20"/>
      <c r="H62" s="20"/>
      <c r="I62" s="20" t="n">
        <f aca="false">SUM(E62:H62)</f>
        <v>0</v>
      </c>
    </row>
    <row r="63" customFormat="false" ht="12.8" hidden="false" customHeight="false" outlineLevel="0" collapsed="false">
      <c r="A63" s="27" t="n">
        <f aca="false">MC346A!A63</f>
        <v>176127</v>
      </c>
      <c r="B63" s="27" t="str">
        <f aca="false">MC346A!B63</f>
        <v>Rafael Eiki Matheus Imamura</v>
      </c>
      <c r="C63" s="28" t="n">
        <f aca="false">MC346A!C63</f>
        <v>42</v>
      </c>
      <c r="D63" s="28" t="str">
        <f aca="false">MC346A!D63</f>
        <v>G</v>
      </c>
      <c r="E63" s="20"/>
      <c r="F63" s="20"/>
      <c r="G63" s="20"/>
      <c r="H63" s="20"/>
      <c r="I63" s="20" t="n">
        <f aca="false">SUM(E63:H63)</f>
        <v>0</v>
      </c>
    </row>
    <row r="64" customFormat="false" ht="12.8" hidden="false" customHeight="false" outlineLevel="0" collapsed="false">
      <c r="A64" s="27" t="n">
        <f aca="false">MC346A!A64</f>
        <v>177065</v>
      </c>
      <c r="B64" s="27" t="str">
        <f aca="false">MC346A!B64</f>
        <v>Samuel Felipe Chenatti</v>
      </c>
      <c r="C64" s="28" t="n">
        <f aca="false">MC346A!C64</f>
        <v>42</v>
      </c>
      <c r="D64" s="28" t="str">
        <f aca="false">MC346A!D64</f>
        <v>G</v>
      </c>
      <c r="E64" s="20"/>
      <c r="F64" s="20"/>
      <c r="G64" s="20"/>
      <c r="H64" s="20"/>
      <c r="I64" s="20" t="n">
        <f aca="false">SUM(E64:H64)</f>
        <v>0</v>
      </c>
    </row>
    <row r="65" customFormat="false" ht="12.8" hidden="false" customHeight="false" outlineLevel="0" collapsed="false">
      <c r="A65" s="27" t="n">
        <f aca="false">MC346A!A65</f>
        <v>177677</v>
      </c>
      <c r="B65" s="27" t="str">
        <f aca="false">MC346A!B65</f>
        <v>Thomas Jun Yamasaki</v>
      </c>
      <c r="C65" s="28" t="n">
        <f aca="false">MC346A!C65</f>
        <v>34</v>
      </c>
      <c r="D65" s="28" t="str">
        <f aca="false">MC346A!D65</f>
        <v>G</v>
      </c>
      <c r="E65" s="20" t="n">
        <v>0.1</v>
      </c>
      <c r="F65" s="20" t="n">
        <v>2.8</v>
      </c>
      <c r="G65" s="20" t="n">
        <v>2.8</v>
      </c>
      <c r="H65" s="20" t="n">
        <v>1.9</v>
      </c>
      <c r="I65" s="20" t="n">
        <f aca="false">SUM(E65:H65)</f>
        <v>7.6</v>
      </c>
    </row>
    <row r="66" customFormat="false" ht="12.8" hidden="false" customHeight="false" outlineLevel="0" collapsed="false">
      <c r="A66" s="27" t="n">
        <f aca="false">MC346A!A66</f>
        <v>178018</v>
      </c>
      <c r="B66" s="27" t="str">
        <f aca="false">MC346A!B66</f>
        <v>Victor Luccas Soares Villas Boas Antunes</v>
      </c>
      <c r="C66" s="28" t="n">
        <f aca="false">MC346A!C66</f>
        <v>42</v>
      </c>
      <c r="D66" s="28" t="str">
        <f aca="false">MC346A!D66</f>
        <v>G</v>
      </c>
      <c r="E66" s="20"/>
      <c r="F66" s="20"/>
      <c r="G66" s="20"/>
      <c r="H66" s="20"/>
      <c r="I66" s="20" t="n">
        <f aca="false">SUM(E66:H66)</f>
        <v>0</v>
      </c>
    </row>
    <row r="67" customFormat="false" ht="12.8" hidden="false" customHeight="false" outlineLevel="0" collapsed="false">
      <c r="A67" s="27" t="n">
        <f aca="false">MC346A!A67</f>
        <v>178183</v>
      </c>
      <c r="B67" s="27" t="str">
        <f aca="false">MC346A!B67</f>
        <v>Vinícius Balbino de Souza</v>
      </c>
      <c r="C67" s="28" t="n">
        <f aca="false">MC346A!C67</f>
        <v>42</v>
      </c>
      <c r="D67" s="28" t="str">
        <f aca="false">MC346A!D67</f>
        <v>G</v>
      </c>
      <c r="E67" s="20"/>
      <c r="F67" s="20"/>
      <c r="G67" s="20"/>
      <c r="H67" s="20"/>
      <c r="I67" s="20" t="n">
        <f aca="false">SUM(E67:H67)</f>
        <v>0</v>
      </c>
    </row>
    <row r="68" customFormat="false" ht="12.8" hidden="false" customHeight="false" outlineLevel="0" collapsed="false">
      <c r="A68" s="27" t="n">
        <f aca="false">MC346A!A68</f>
        <v>951431</v>
      </c>
      <c r="B68" s="27" t="str">
        <f aca="false">MC346A!B68</f>
        <v>Ricardo Dirani</v>
      </c>
      <c r="C68" s="28" t="n">
        <f aca="false">MC346A!C68</f>
        <v>42</v>
      </c>
      <c r="D68" s="28" t="str">
        <f aca="false">MC346A!D68</f>
        <v>G</v>
      </c>
      <c r="E68" s="20"/>
      <c r="F68" s="20"/>
      <c r="G68" s="20"/>
      <c r="H68" s="20"/>
      <c r="I68" s="20"/>
    </row>
    <row r="70" customFormat="false" ht="12.8" hidden="false" customHeight="false" outlineLevel="0" collapsed="false">
      <c r="B70" s="0" t="s">
        <v>44</v>
      </c>
      <c r="E70" s="29" t="n">
        <f aca="false">AVERAGE(E3:E69)</f>
        <v>0.1</v>
      </c>
      <c r="F70" s="29" t="n">
        <f aca="false">AVERAGE(F3:F69)</f>
        <v>2.55</v>
      </c>
      <c r="G70" s="29" t="n">
        <f aca="false">AVERAGE(G3:G69)</f>
        <v>2</v>
      </c>
      <c r="H70" s="29" t="n">
        <f aca="false">AVERAGE(H3:H69)</f>
        <v>2.21</v>
      </c>
      <c r="I70" s="29" t="n">
        <f aca="false">AVERAGE(I3:I69)</f>
        <v>1.55909090909091</v>
      </c>
    </row>
    <row r="71" customFormat="false" ht="12.8" hidden="false" customHeight="false" outlineLevel="0" collapsed="false">
      <c r="B71" s="0" t="s">
        <v>45</v>
      </c>
      <c r="E71" s="24" t="n">
        <f aca="false">SUM(E3:E69)</f>
        <v>1</v>
      </c>
      <c r="F71" s="24" t="n">
        <f aca="false">SUM(F3:F69)</f>
        <v>25.5</v>
      </c>
      <c r="G71" s="24" t="n">
        <f aca="false">SUM(G3:G69)</f>
        <v>20</v>
      </c>
      <c r="H71" s="24" t="n">
        <f aca="false">SUM(H3:H69)</f>
        <v>22.1</v>
      </c>
      <c r="I71" s="24" t="n">
        <f aca="false">SUM(I3:I69)</f>
        <v>68.6</v>
      </c>
    </row>
    <row r="72" customFormat="false" ht="12.8" hidden="false" customHeight="false" outlineLevel="0" collapsed="false">
      <c r="B72" s="0" t="s">
        <v>46</v>
      </c>
      <c r="E72" s="24" t="n">
        <f aca="false">E71/E70</f>
        <v>10</v>
      </c>
      <c r="F72" s="24" t="n">
        <f aca="false">F71/F70</f>
        <v>10</v>
      </c>
      <c r="G72" s="24" t="n">
        <f aca="false">G71/G70</f>
        <v>10</v>
      </c>
      <c r="H72" s="24" t="n">
        <f aca="false">H71/H70</f>
        <v>10</v>
      </c>
      <c r="I72" s="24" t="n">
        <f aca="false">I71/I70</f>
        <v>44</v>
      </c>
    </row>
    <row r="73" customFormat="false" ht="12.8" hidden="false" customHeight="false" outlineLevel="0" collapsed="false">
      <c r="B73" s="0" t="s">
        <v>47</v>
      </c>
      <c r="E73" s="29" t="n">
        <f aca="false">STDEV(E3:E69)</f>
        <v>0</v>
      </c>
      <c r="F73" s="29" t="n">
        <f aca="false">STDEV(F3:F69)</f>
        <v>0.540061724867322</v>
      </c>
      <c r="G73" s="29" t="n">
        <f aca="false">STDEV(G3:G69)</f>
        <v>0.898146239020499</v>
      </c>
      <c r="H73" s="29" t="n">
        <f aca="false">STDEV(H3:H69)</f>
        <v>0.839907402303637</v>
      </c>
      <c r="I73" s="29" t="n">
        <f aca="false">STDEV(I3:I69)</f>
        <v>2.96548503282607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P73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O49" activeCellId="0" sqref="O49"/>
    </sheetView>
  </sheetViews>
  <sheetFormatPr defaultRowHeight="12.8" zeroHeight="false" outlineLevelRow="0" outlineLevelCol="0"/>
  <cols>
    <col collapsed="false" customWidth="true" hidden="false" outlineLevel="0" max="1" min="1" style="0" width="2.49"/>
    <col collapsed="false" customWidth="true" hidden="false" outlineLevel="0" max="2" min="2" style="0" width="11.11"/>
    <col collapsed="false" customWidth="true" hidden="false" outlineLevel="0" max="3" min="3" style="24" width="19.91"/>
    <col collapsed="false" customWidth="true" hidden="false" outlineLevel="0" max="15" min="4" style="24" width="8.52"/>
    <col collapsed="false" customWidth="true" hidden="false" outlineLevel="0" max="16" min="16" style="0" width="42.1"/>
    <col collapsed="false" customWidth="true" hidden="false" outlineLevel="0" max="261" min="17" style="0" width="8.52"/>
    <col collapsed="false" customWidth="true" hidden="false" outlineLevel="0" max="1025" min="262" style="0" width="8.37"/>
  </cols>
  <sheetData>
    <row r="3" customFormat="false" ht="12.8" hidden="false" customHeight="false" outlineLevel="0" collapsed="false">
      <c r="G3" s="24" t="n">
        <v>0.02</v>
      </c>
      <c r="J3" s="24" t="n">
        <v>0.02</v>
      </c>
    </row>
    <row r="4" customFormat="false" ht="16.15" hidden="false" customHeight="false" outlineLevel="0" collapsed="false">
      <c r="B4" s="30" t="s">
        <v>49</v>
      </c>
      <c r="C4" s="31"/>
      <c r="D4" s="31"/>
      <c r="E4" s="32"/>
      <c r="F4" s="32"/>
      <c r="G4" s="33" t="n">
        <v>4.139</v>
      </c>
      <c r="H4" s="24" t="n">
        <v>3</v>
      </c>
      <c r="J4" s="33" t="n">
        <v>0.0266</v>
      </c>
      <c r="K4" s="24" t="n">
        <v>1</v>
      </c>
    </row>
    <row r="5" customFormat="false" ht="12.8" hidden="false" customHeight="false" outlineLevel="0" collapsed="false">
      <c r="B5" s="26" t="s">
        <v>50</v>
      </c>
      <c r="C5" s="34" t="n">
        <v>42998.9993055556</v>
      </c>
      <c r="D5" s="34"/>
      <c r="G5" s="25" t="s">
        <v>51</v>
      </c>
      <c r="I5" s="25" t="s">
        <v>52</v>
      </c>
      <c r="J5" s="25" t="s">
        <v>52</v>
      </c>
    </row>
    <row r="6" customFormat="false" ht="12.8" hidden="false" customHeight="false" outlineLevel="0" collapsed="false">
      <c r="A6" s="25"/>
      <c r="B6" s="25" t="s">
        <v>16</v>
      </c>
      <c r="C6" s="25" t="s">
        <v>53</v>
      </c>
      <c r="D6" s="25" t="s">
        <v>54</v>
      </c>
      <c r="E6" s="32" t="s">
        <v>55</v>
      </c>
      <c r="F6" s="32" t="s">
        <v>56</v>
      </c>
      <c r="G6" s="25" t="s">
        <v>57</v>
      </c>
      <c r="H6" s="32" t="s">
        <v>58</v>
      </c>
      <c r="I6" s="25" t="s">
        <v>43</v>
      </c>
      <c r="J6" s="32" t="s">
        <v>59</v>
      </c>
      <c r="K6" s="32" t="s">
        <v>60</v>
      </c>
      <c r="L6" s="32" t="s">
        <v>61</v>
      </c>
      <c r="M6" s="32" t="s">
        <v>62</v>
      </c>
      <c r="N6" s="32" t="s">
        <v>63</v>
      </c>
      <c r="O6" s="25" t="s">
        <v>64</v>
      </c>
      <c r="P6" s="25" t="s">
        <v>65</v>
      </c>
    </row>
    <row r="7" customFormat="false" ht="12.8" hidden="false" customHeight="false" outlineLevel="0" collapsed="false">
      <c r="A7" s="25"/>
      <c r="B7" s="25" t="s">
        <v>66</v>
      </c>
      <c r="C7" s="35" t="n">
        <v>42977</v>
      </c>
      <c r="D7" s="25" t="n">
        <v>1.5</v>
      </c>
      <c r="E7" s="32" t="n">
        <v>2</v>
      </c>
      <c r="F7" s="36" t="n">
        <v>3642</v>
      </c>
      <c r="G7" s="37" t="n">
        <f aca="false">F7/720-1</f>
        <v>4.05833333333333</v>
      </c>
      <c r="H7" s="37" t="n">
        <f aca="false">2*(G$4+G$3)/(G7+G$3)</f>
        <v>2.03955864323662</v>
      </c>
      <c r="I7" s="38" t="n">
        <v>275</v>
      </c>
      <c r="J7" s="39" t="n">
        <f aca="false">I7/720</f>
        <v>0.381944444444444</v>
      </c>
      <c r="K7" s="32" t="n">
        <f aca="false">2*(J$3+J$4)/(J$3+J7)</f>
        <v>0.231872840359364</v>
      </c>
      <c r="L7" s="32" t="n">
        <v>2</v>
      </c>
      <c r="M7" s="40" t="n">
        <f aca="false">MIN(10,D7+E7+H7+K7+L7)</f>
        <v>7.77143148359598</v>
      </c>
      <c r="N7" s="41" t="n">
        <f aca="false">IF(C$5&lt;C7,_xlfn.DAYS(C7,C$5),0)/0.2</f>
        <v>0</v>
      </c>
      <c r="O7" s="12" t="n">
        <f aca="false">(1-N7)*M7</f>
        <v>7.77143148359598</v>
      </c>
      <c r="P7" s="0" t="s">
        <v>67</v>
      </c>
    </row>
    <row r="8" customFormat="false" ht="12.8" hidden="false" customHeight="false" outlineLevel="0" collapsed="false">
      <c r="B8" s="0" t="n">
        <f aca="false">MC346A!A3</f>
        <v>101487</v>
      </c>
      <c r="O8" s="12"/>
    </row>
    <row r="9" customFormat="false" ht="12.8" hidden="false" customHeight="false" outlineLevel="0" collapsed="false">
      <c r="B9" s="0" t="n">
        <f aca="false">MC346A!A4</f>
        <v>116134</v>
      </c>
      <c r="O9" s="12"/>
    </row>
    <row r="10" customFormat="false" ht="12.8" hidden="false" customHeight="false" outlineLevel="0" collapsed="false">
      <c r="B10" s="0" t="n">
        <f aca="false">MC346A!A5</f>
        <v>117079</v>
      </c>
      <c r="C10" s="34" t="n">
        <v>42998.4434143519</v>
      </c>
      <c r="D10" s="24" t="n">
        <v>2</v>
      </c>
      <c r="E10" s="24" t="n">
        <v>2</v>
      </c>
      <c r="F10" s="24" t="n">
        <v>1002</v>
      </c>
      <c r="G10" s="42" t="n">
        <f aca="false">F10/200-1</f>
        <v>4.01</v>
      </c>
      <c r="H10" s="42" t="n">
        <f aca="false">H$4*(G$4+G$3)/(G10+G$3)</f>
        <v>3.09602977667494</v>
      </c>
      <c r="I10" s="24" t="n">
        <f aca="false">9+6</f>
        <v>15</v>
      </c>
      <c r="J10" s="43" t="n">
        <f aca="false">I10/200</f>
        <v>0.075</v>
      </c>
      <c r="K10" s="44" t="n">
        <f aca="false">K$4*(J$3+J$4)/(J$3+J10)</f>
        <v>0.490526315789474</v>
      </c>
      <c r="L10" s="24" t="n">
        <v>2</v>
      </c>
      <c r="M10" s="45" t="n">
        <f aca="false">MIN(10,D10+E10+H10+K10+L10)</f>
        <v>9.58655609246441</v>
      </c>
      <c r="N10" s="41" t="n">
        <f aca="false">IF(C$5&lt;C10,_xlfn.DAYS(C10,C$5),0)/0.2</f>
        <v>0</v>
      </c>
      <c r="O10" s="12" t="n">
        <f aca="false">(1-N10)*M10</f>
        <v>9.58655609246441</v>
      </c>
      <c r="P10" s="0" t="s">
        <v>68</v>
      </c>
    </row>
    <row r="11" customFormat="false" ht="12.8" hidden="false" customHeight="false" outlineLevel="0" collapsed="false">
      <c r="B11" s="0" t="n">
        <f aca="false">MC346A!A6</f>
        <v>118363</v>
      </c>
      <c r="C11" s="34" t="n">
        <v>42998.8595833333</v>
      </c>
      <c r="D11" s="24" t="n">
        <v>2</v>
      </c>
      <c r="E11" s="24" t="n">
        <v>2</v>
      </c>
      <c r="F11" s="24" t="n">
        <v>1006</v>
      </c>
      <c r="G11" s="42" t="n">
        <f aca="false">F11/200-1</f>
        <v>4.03</v>
      </c>
      <c r="H11" s="42" t="n">
        <f aca="false">H$4*(G$4+G$3)/(G11+G$3)</f>
        <v>3.08074074074074</v>
      </c>
      <c r="I11" s="24" t="n">
        <f aca="false">10+9</f>
        <v>19</v>
      </c>
      <c r="J11" s="43" t="n">
        <f aca="false">I11/200</f>
        <v>0.095</v>
      </c>
      <c r="K11" s="44" t="n">
        <f aca="false">K$4*(J$3+J$4)/(J$3+J11)</f>
        <v>0.405217391304348</v>
      </c>
      <c r="L11" s="24" t="n">
        <v>2</v>
      </c>
      <c r="M11" s="45" t="n">
        <f aca="false">MIN(10,D11+E11+H11+K11+L11)</f>
        <v>9.48595813204509</v>
      </c>
      <c r="N11" s="41" t="n">
        <f aca="false">IF(C$5&lt;C11,_xlfn.DAYS(C11,C$5),0)/0.2</f>
        <v>0</v>
      </c>
      <c r="O11" s="12" t="n">
        <f aca="false">(1-N11)*M11</f>
        <v>9.48595813204509</v>
      </c>
      <c r="P11" s="0" t="s">
        <v>69</v>
      </c>
    </row>
    <row r="12" customFormat="false" ht="12.8" hidden="false" customHeight="false" outlineLevel="0" collapsed="false">
      <c r="B12" s="0" t="n">
        <f aca="false">MC346A!A7</f>
        <v>118827</v>
      </c>
      <c r="C12" s="34" t="n">
        <v>42993.598912037</v>
      </c>
      <c r="D12" s="24" t="n">
        <v>2</v>
      </c>
      <c r="E12" s="24" t="n">
        <v>2</v>
      </c>
      <c r="F12" s="24" t="n">
        <v>1002</v>
      </c>
      <c r="G12" s="42" t="n">
        <f aca="false">F12/200-1</f>
        <v>4.01</v>
      </c>
      <c r="H12" s="42" t="n">
        <f aca="false">H$4*(G$4+G$3)/(G12+G$3)</f>
        <v>3.09602977667494</v>
      </c>
      <c r="I12" s="24" t="n">
        <f aca="false">7+7</f>
        <v>14</v>
      </c>
      <c r="J12" s="43" t="n">
        <f aca="false">I12/200</f>
        <v>0.07</v>
      </c>
      <c r="K12" s="44" t="n">
        <f aca="false">K$4*(J$3+J$4)/(J$3+J12)</f>
        <v>0.517777777777778</v>
      </c>
      <c r="L12" s="24" t="n">
        <v>2</v>
      </c>
      <c r="M12" s="45" t="n">
        <f aca="false">MIN(10,D12+E12+H12+K12+L12)</f>
        <v>9.61380755445272</v>
      </c>
      <c r="N12" s="41" t="n">
        <f aca="false">IF(C$5&lt;C12,_xlfn.DAYS(C12,C$5),0)/0.2</f>
        <v>0</v>
      </c>
      <c r="O12" s="12" t="n">
        <f aca="false">(1-N12)*M12</f>
        <v>9.61380755445272</v>
      </c>
      <c r="P12" s="0" t="s">
        <v>70</v>
      </c>
    </row>
    <row r="13" customFormat="false" ht="12.8" hidden="false" customHeight="false" outlineLevel="0" collapsed="false">
      <c r="B13" s="0" t="n">
        <f aca="false">MC346A!A8</f>
        <v>119494</v>
      </c>
      <c r="C13" s="34" t="n">
        <v>42997.9921759259</v>
      </c>
      <c r="D13" s="24" t="n">
        <v>2</v>
      </c>
      <c r="E13" s="24" t="n">
        <v>2</v>
      </c>
      <c r="F13" s="24" t="n">
        <v>3974</v>
      </c>
      <c r="G13" s="42" t="n">
        <f aca="false">F13/200-1</f>
        <v>18.87</v>
      </c>
      <c r="H13" s="42" t="n">
        <f aca="false">H$4*(G$4+G$3)/(G13+G$3)</f>
        <v>0.660508205399682</v>
      </c>
      <c r="I13" s="24" t="n">
        <f aca="false">10+11</f>
        <v>21</v>
      </c>
      <c r="J13" s="43" t="n">
        <f aca="false">I13/200</f>
        <v>0.105</v>
      </c>
      <c r="K13" s="44" t="n">
        <f aca="false">K$4*(J$3+J$4)/(J$3+J13)</f>
        <v>0.3728</v>
      </c>
      <c r="L13" s="24" t="n">
        <v>2</v>
      </c>
      <c r="M13" s="45" t="n">
        <f aca="false">MIN(10,D13+E13+H13+K13+L13)</f>
        <v>7.03330820539968</v>
      </c>
      <c r="N13" s="41" t="n">
        <f aca="false">IF(C$5&lt;C13,_xlfn.DAYS(C13,C$5),0)/0.2</f>
        <v>0</v>
      </c>
      <c r="O13" s="12" t="n">
        <f aca="false">(1-N13)*M13</f>
        <v>7.03330820539968</v>
      </c>
      <c r="P13" s="0" t="s">
        <v>71</v>
      </c>
    </row>
    <row r="14" customFormat="false" ht="12.8" hidden="false" customHeight="false" outlineLevel="0" collapsed="false">
      <c r="B14" s="0" t="n">
        <f aca="false">MC346A!A9</f>
        <v>119637</v>
      </c>
      <c r="C14" s="34" t="n">
        <v>42998.8829050926</v>
      </c>
      <c r="D14" s="24" t="n">
        <v>0.5</v>
      </c>
      <c r="E14" s="24" t="n">
        <v>2</v>
      </c>
      <c r="F14" s="24" t="n">
        <v>6220</v>
      </c>
      <c r="G14" s="42" t="n">
        <f aca="false">F14/200-1</f>
        <v>30.1</v>
      </c>
      <c r="H14" s="42" t="n">
        <f aca="false">H$4*(G$4+G$3)/(G14+G$3)</f>
        <v>0.414243027888446</v>
      </c>
      <c r="I14" s="24" t="n">
        <f aca="false">4</f>
        <v>4</v>
      </c>
      <c r="J14" s="43" t="n">
        <f aca="false">I14/100</f>
        <v>0.04</v>
      </c>
      <c r="K14" s="44" t="n">
        <v>0</v>
      </c>
      <c r="L14" s="24" t="n">
        <v>0</v>
      </c>
      <c r="M14" s="45" t="n">
        <f aca="false">MIN(10,D14+E14+H14+K14+L14)</f>
        <v>2.91424302788845</v>
      </c>
      <c r="N14" s="41" t="n">
        <f aca="false">IF(C$5&lt;C14,_xlfn.DAYS(C14,C$5),0)/0.2</f>
        <v>0</v>
      </c>
      <c r="O14" s="12" t="n">
        <f aca="false">(1-N14)*M14</f>
        <v>2.91424302788845</v>
      </c>
      <c r="P14" s="0" t="s">
        <v>72</v>
      </c>
    </row>
    <row r="15" customFormat="false" ht="12.8" hidden="false" customHeight="false" outlineLevel="0" collapsed="false">
      <c r="A15" s="46"/>
      <c r="B15" s="0" t="n">
        <f aca="false">MC346A!A10</f>
        <v>135680</v>
      </c>
      <c r="C15" s="34" t="n">
        <v>42998.6668518519</v>
      </c>
      <c r="D15" s="24" t="n">
        <v>1.4</v>
      </c>
      <c r="E15" s="24" t="n">
        <v>0</v>
      </c>
      <c r="H15" s="42" t="n">
        <v>0</v>
      </c>
      <c r="K15" s="24" t="n">
        <v>0</v>
      </c>
      <c r="L15" s="24" t="n">
        <v>0</v>
      </c>
      <c r="M15" s="45" t="n">
        <f aca="false">MIN(10,D15+E15+H15+K15+L15)</f>
        <v>1.4</v>
      </c>
      <c r="N15" s="41" t="n">
        <f aca="false">IF(C$5&lt;C15,_xlfn.DAYS(C15,C$5),0)/0.2</f>
        <v>0</v>
      </c>
      <c r="O15" s="12" t="n">
        <f aca="false">(1-N15)*M15</f>
        <v>1.4</v>
      </c>
      <c r="P15" s="0" t="s">
        <v>73</v>
      </c>
    </row>
    <row r="16" customFormat="false" ht="12.8" hidden="false" customHeight="false" outlineLevel="0" collapsed="false">
      <c r="B16" s="0" t="n">
        <f aca="false">MC346A!A11</f>
        <v>135986</v>
      </c>
      <c r="C16" s="34" t="n">
        <v>42998.7449537037</v>
      </c>
      <c r="D16" s="24" t="n">
        <v>0.8</v>
      </c>
      <c r="E16" s="24" t="n">
        <v>2</v>
      </c>
      <c r="F16" s="24" t="n">
        <v>3928</v>
      </c>
      <c r="G16" s="42" t="n">
        <f aca="false">F16/200-1</f>
        <v>18.64</v>
      </c>
      <c r="H16" s="42" t="n">
        <f aca="false">H$4*(G$4+G$3)/(G16+G$3)</f>
        <v>0.668649517684887</v>
      </c>
      <c r="K16" s="24" t="n">
        <v>0</v>
      </c>
      <c r="L16" s="24" t="n">
        <v>0</v>
      </c>
      <c r="M16" s="45" t="n">
        <f aca="false">MIN(10,D16+E16+H16+K16+L16)</f>
        <v>3.46864951768489</v>
      </c>
      <c r="N16" s="41" t="n">
        <f aca="false">IF(C$5&lt;C16,_xlfn.DAYS(C16,C$5),0)/0.2</f>
        <v>0</v>
      </c>
      <c r="O16" s="12" t="n">
        <f aca="false">(1-N16)*M16</f>
        <v>3.46864951768489</v>
      </c>
      <c r="P16" s="0" t="s">
        <v>74</v>
      </c>
    </row>
    <row r="17" customFormat="false" ht="12.8" hidden="false" customHeight="false" outlineLevel="0" collapsed="false">
      <c r="B17" s="0" t="n">
        <f aca="false">MC346A!A12</f>
        <v>136454</v>
      </c>
      <c r="O17" s="12"/>
    </row>
    <row r="18" customFormat="false" ht="12.8" hidden="false" customHeight="false" outlineLevel="0" collapsed="false">
      <c r="B18" s="0" t="n">
        <f aca="false">MC346A!A13</f>
        <v>137733</v>
      </c>
      <c r="O18" s="12"/>
    </row>
    <row r="19" customFormat="false" ht="12.8" hidden="false" customHeight="false" outlineLevel="0" collapsed="false">
      <c r="B19" s="0" t="n">
        <f aca="false">MC346A!A14</f>
        <v>138745</v>
      </c>
      <c r="O19" s="12"/>
    </row>
    <row r="20" customFormat="false" ht="12.8" hidden="false" customHeight="false" outlineLevel="0" collapsed="false">
      <c r="B20" s="0" t="n">
        <f aca="false">MC346A!A15</f>
        <v>138771</v>
      </c>
      <c r="C20" s="34" t="n">
        <v>42998.9161111111</v>
      </c>
      <c r="D20" s="24" t="n">
        <v>2</v>
      </c>
      <c r="E20" s="24" t="n">
        <v>2</v>
      </c>
      <c r="F20" s="24" t="n">
        <v>1582</v>
      </c>
      <c r="G20" s="42" t="n">
        <f aca="false">F20/200-1</f>
        <v>6.91</v>
      </c>
      <c r="H20" s="42" t="n">
        <f aca="false">H$4*(G$4+G$3)/(G20+G$3)</f>
        <v>1.8004329004329</v>
      </c>
      <c r="I20" s="24" t="n">
        <f aca="false">8+8</f>
        <v>16</v>
      </c>
      <c r="J20" s="43" t="n">
        <f aca="false">I20/200</f>
        <v>0.08</v>
      </c>
      <c r="K20" s="44" t="n">
        <f aca="false">K$4*(J$3+J$4)/(J$3+J20)</f>
        <v>0.466</v>
      </c>
      <c r="L20" s="24" t="n">
        <v>2</v>
      </c>
      <c r="M20" s="45" t="n">
        <f aca="false">MIN(10,D20+E20+H20+K20+L20)</f>
        <v>8.2664329004329</v>
      </c>
      <c r="N20" s="41" t="n">
        <f aca="false">IF(C$5&lt;C20,_xlfn.DAYS(C20,C$5),0)/0.2</f>
        <v>0</v>
      </c>
      <c r="O20" s="12" t="n">
        <f aca="false">(1-N20)*M20</f>
        <v>8.2664329004329</v>
      </c>
      <c r="P20" s="0" t="s">
        <v>68</v>
      </c>
    </row>
    <row r="21" customFormat="false" ht="12.8" hidden="false" customHeight="false" outlineLevel="0" collapsed="false">
      <c r="B21" s="0" t="n">
        <f aca="false">MC346A!A16</f>
        <v>145510</v>
      </c>
      <c r="O21" s="12"/>
    </row>
    <row r="22" customFormat="false" ht="12.8" hidden="false" customHeight="false" outlineLevel="0" collapsed="false">
      <c r="B22" s="0" t="n">
        <f aca="false">MC346A!A17</f>
        <v>145552</v>
      </c>
      <c r="C22" s="34" t="n">
        <v>42999.1826388889</v>
      </c>
      <c r="D22" s="24" t="n">
        <v>1</v>
      </c>
      <c r="E22" s="24" t="n">
        <v>2</v>
      </c>
      <c r="F22" s="24" t="n">
        <v>4070</v>
      </c>
      <c r="G22" s="42" t="n">
        <f aca="false">F22/200-1</f>
        <v>19.35</v>
      </c>
      <c r="H22" s="42" t="n">
        <f aca="false">H$4*(G$4+G$3)/(G22+G$3)</f>
        <v>0.644140423335054</v>
      </c>
      <c r="I22" s="24" t="n">
        <f aca="false">7+3</f>
        <v>10</v>
      </c>
      <c r="J22" s="43" t="n">
        <f aca="false">I22/200</f>
        <v>0.05</v>
      </c>
      <c r="K22" s="44" t="n">
        <f aca="false">K$4*(J$3+J$4)/(J$3+J22)</f>
        <v>0.665714285714286</v>
      </c>
      <c r="L22" s="24" t="n">
        <v>2</v>
      </c>
      <c r="M22" s="45" t="n">
        <f aca="false">MIN(10,D22+E22+H22+K22+L22)</f>
        <v>6.30985470904934</v>
      </c>
      <c r="N22" s="41" t="n">
        <f aca="false">IF(C$5&lt;C22,_xlfn.DAYS(C22,C$5),0)*0.2</f>
        <v>0.0366666666610399</v>
      </c>
      <c r="O22" s="12" t="n">
        <f aca="false">(1-N22)*M22</f>
        <v>6.07849336975303</v>
      </c>
      <c r="P22" s="0" t="s">
        <v>75</v>
      </c>
    </row>
    <row r="23" customFormat="false" ht="12.8" hidden="false" customHeight="false" outlineLevel="0" collapsed="false">
      <c r="B23" s="0" t="n">
        <f aca="false">MC346A!A18</f>
        <v>145763</v>
      </c>
      <c r="O23" s="12"/>
    </row>
    <row r="24" customFormat="false" ht="12.8" hidden="false" customHeight="false" outlineLevel="0" collapsed="false">
      <c r="B24" s="0" t="n">
        <f aca="false">MC346A!A19</f>
        <v>146040</v>
      </c>
      <c r="C24" s="34" t="n">
        <v>42998.6984837963</v>
      </c>
      <c r="D24" s="24" t="n">
        <v>2</v>
      </c>
      <c r="E24" s="24" t="n">
        <v>2</v>
      </c>
      <c r="F24" s="24" t="n">
        <v>4080</v>
      </c>
      <c r="G24" s="42" t="n">
        <f aca="false">F24/200-1</f>
        <v>19.4</v>
      </c>
      <c r="H24" s="42" t="n">
        <f aca="false">H$4*(G$4+G$3)/(G24+G$3)</f>
        <v>0.642481977342946</v>
      </c>
      <c r="I24" s="24" t="n">
        <f aca="false">7+3</f>
        <v>10</v>
      </c>
      <c r="J24" s="43" t="n">
        <f aca="false">I24/200</f>
        <v>0.05</v>
      </c>
      <c r="K24" s="44" t="n">
        <f aca="false">K$4*(J$3+J$4)/(J$3+J24)</f>
        <v>0.665714285714286</v>
      </c>
      <c r="L24" s="24" t="n">
        <v>2</v>
      </c>
      <c r="M24" s="45" t="n">
        <f aca="false">MIN(10,D24+E24+H24+K24+L24)</f>
        <v>7.30819626305723</v>
      </c>
      <c r="N24" s="41" t="n">
        <f aca="false">IF(C$5&lt;C24,_xlfn.DAYS(C24,C$5),0)/0.2</f>
        <v>0</v>
      </c>
      <c r="O24" s="12" t="n">
        <f aca="false">(1-N24)*M24</f>
        <v>7.30819626305723</v>
      </c>
      <c r="P24" s="0" t="s">
        <v>68</v>
      </c>
    </row>
    <row r="25" customFormat="false" ht="12.8" hidden="false" customHeight="false" outlineLevel="0" collapsed="false">
      <c r="B25" s="0" t="n">
        <f aca="false">MC346A!A20</f>
        <v>146098</v>
      </c>
      <c r="C25" s="34" t="n">
        <v>42997.8754050926</v>
      </c>
      <c r="D25" s="24" t="n">
        <v>1</v>
      </c>
      <c r="E25" s="24" t="n">
        <v>2</v>
      </c>
      <c r="F25" s="24" t="n">
        <v>2596</v>
      </c>
      <c r="G25" s="42" t="n">
        <f aca="false">F25/200-1</f>
        <v>11.98</v>
      </c>
      <c r="H25" s="42" t="n">
        <f aca="false">H$4*(G$4+G$3)/(G25+G$3)</f>
        <v>1.03975</v>
      </c>
      <c r="I25" s="24" t="n">
        <f aca="false">9+10</f>
        <v>19</v>
      </c>
      <c r="J25" s="43" t="n">
        <f aca="false">I25/200</f>
        <v>0.095</v>
      </c>
      <c r="K25" s="44" t="n">
        <f aca="false">K$4*(J$3+J$4)/(J$3+J25)</f>
        <v>0.405217391304348</v>
      </c>
      <c r="L25" s="24" t="n">
        <v>2</v>
      </c>
      <c r="M25" s="45" t="n">
        <f aca="false">MIN(10,D25+E25+H25+K25+L25)</f>
        <v>6.44496739130435</v>
      </c>
      <c r="N25" s="41" t="n">
        <f aca="false">IF(C$5&lt;C25,_xlfn.DAYS(C25,C$5),0)/0.2</f>
        <v>0</v>
      </c>
      <c r="O25" s="12" t="n">
        <f aca="false">(1-N25)*M25</f>
        <v>6.44496739130435</v>
      </c>
      <c r="P25" s="0" t="s">
        <v>76</v>
      </c>
    </row>
    <row r="26" customFormat="false" ht="12.8" hidden="false" customHeight="false" outlineLevel="0" collapsed="false">
      <c r="B26" s="0" t="n">
        <f aca="false">MC346A!A21</f>
        <v>146310</v>
      </c>
      <c r="C26" s="34" t="n">
        <v>42994.807662037</v>
      </c>
      <c r="D26" s="24" t="n">
        <v>1.5</v>
      </c>
      <c r="E26" s="24" t="n">
        <v>2</v>
      </c>
      <c r="F26" s="24" t="n">
        <v>15450</v>
      </c>
      <c r="G26" s="42" t="n">
        <f aca="false">F26/720-1</f>
        <v>20.4583333333333</v>
      </c>
      <c r="H26" s="42" t="n">
        <f aca="false">H$4*(G$4+G$3)/(G26+G$3)</f>
        <v>0.609278098803614</v>
      </c>
      <c r="I26" s="24" t="n">
        <f aca="false">3+3</f>
        <v>6</v>
      </c>
      <c r="J26" s="43" t="n">
        <f aca="false">I26/200</f>
        <v>0.03</v>
      </c>
      <c r="K26" s="44" t="n">
        <f aca="false">K$4*(J$3+J$4)/(J$3+J26)</f>
        <v>0.932</v>
      </c>
      <c r="L26" s="24" t="n">
        <v>2</v>
      </c>
      <c r="M26" s="45" t="n">
        <f aca="false">MIN(10,D26+E26+H26+K26+L26)</f>
        <v>7.04127809880361</v>
      </c>
      <c r="N26" s="41" t="n">
        <f aca="false">IF(C$5&lt;C26,_xlfn.DAYS(C26,C$5),0)/0.2</f>
        <v>0</v>
      </c>
      <c r="O26" s="12" t="n">
        <f aca="false">(1-N26)*M26</f>
        <v>7.04127809880361</v>
      </c>
      <c r="P26" s="0" t="s">
        <v>67</v>
      </c>
    </row>
    <row r="27" customFormat="false" ht="12.8" hidden="false" customHeight="false" outlineLevel="0" collapsed="false">
      <c r="B27" s="0" t="n">
        <f aca="false">MC346A!A22</f>
        <v>146318</v>
      </c>
      <c r="C27" s="34" t="n">
        <v>42998.7106018519</v>
      </c>
      <c r="D27" s="24" t="n">
        <v>0.5</v>
      </c>
      <c r="E27" s="24" t="n">
        <f aca="false">4/100*2</f>
        <v>0.08</v>
      </c>
      <c r="F27" s="24" t="n">
        <v>40</v>
      </c>
      <c r="H27" s="42" t="n">
        <v>0</v>
      </c>
      <c r="L27" s="24" t="n">
        <v>0</v>
      </c>
      <c r="M27" s="45"/>
      <c r="N27" s="41"/>
      <c r="O27" s="12"/>
      <c r="P27" s="0" t="s">
        <v>77</v>
      </c>
    </row>
    <row r="28" customFormat="false" ht="12.8" hidden="false" customHeight="false" outlineLevel="0" collapsed="false">
      <c r="B28" s="0" t="n">
        <f aca="false">MC346A!A23</f>
        <v>146383</v>
      </c>
      <c r="O28" s="12"/>
    </row>
    <row r="29" customFormat="false" ht="12.8" hidden="false" customHeight="false" outlineLevel="0" collapsed="false">
      <c r="B29" s="0" t="n">
        <f aca="false">MC346A!A24</f>
        <v>146752</v>
      </c>
      <c r="C29" s="34" t="n">
        <v>42998.8889930556</v>
      </c>
      <c r="D29" s="24" t="n">
        <v>0.5</v>
      </c>
      <c r="E29" s="24" t="n">
        <v>2</v>
      </c>
      <c r="F29" s="24" t="n">
        <v>3886</v>
      </c>
      <c r="G29" s="42" t="n">
        <f aca="false">F29/200-1</f>
        <v>18.43</v>
      </c>
      <c r="H29" s="42" t="n">
        <f aca="false">H$4*(G$4+G$3)/(G29+G$3)</f>
        <v>0.676260162601626</v>
      </c>
      <c r="I29" s="24" t="n">
        <f aca="false">3+3</f>
        <v>6</v>
      </c>
      <c r="J29" s="43" t="n">
        <f aca="false">I29/200</f>
        <v>0.03</v>
      </c>
      <c r="K29" s="44" t="n">
        <f aca="false">K$4*(J$3+J$4)/(J$3+J29)</f>
        <v>0.932</v>
      </c>
      <c r="L29" s="24" t="n">
        <v>2</v>
      </c>
      <c r="M29" s="45" t="n">
        <f aca="false">MIN(10,D29+E29+H29+K29+L29)</f>
        <v>6.10826016260163</v>
      </c>
      <c r="N29" s="41" t="n">
        <f aca="false">IF(C$5&lt;C29,_xlfn.DAYS(C29,C$5),0)/0.2</f>
        <v>0</v>
      </c>
      <c r="O29" s="12" t="n">
        <f aca="false">(1-N29)*M29</f>
        <v>6.10826016260163</v>
      </c>
      <c r="P29" s="0" t="s">
        <v>78</v>
      </c>
    </row>
    <row r="30" customFormat="false" ht="12.8" hidden="false" customHeight="false" outlineLevel="0" collapsed="false">
      <c r="B30" s="0" t="n">
        <f aca="false">MC346A!A25</f>
        <v>147338</v>
      </c>
      <c r="C30" s="34" t="n">
        <v>42996.9345138889</v>
      </c>
      <c r="D30" s="24" t="n">
        <v>2</v>
      </c>
      <c r="E30" s="24" t="n">
        <v>2</v>
      </c>
      <c r="F30" s="24" t="n">
        <v>3724</v>
      </c>
      <c r="G30" s="42" t="n">
        <f aca="false">F30/720-1</f>
        <v>4.17222222222222</v>
      </c>
      <c r="H30" s="42" t="n">
        <f aca="false">H$4*(G$4+G$3)/(G30+G$3)</f>
        <v>2.97622581500133</v>
      </c>
      <c r="I30" s="24" t="n">
        <f aca="false">9+8</f>
        <v>17</v>
      </c>
      <c r="J30" s="43" t="n">
        <f aca="false">I30/720</f>
        <v>0.0236111111111111</v>
      </c>
      <c r="K30" s="44" t="n">
        <f aca="false">K$4*(J$3+J$4)/(J$3+J30)</f>
        <v>1.06853503184713</v>
      </c>
      <c r="L30" s="24" t="n">
        <v>2</v>
      </c>
      <c r="M30" s="45" t="n">
        <f aca="false">MIN(10,D30+E30+H30+K30+L30)</f>
        <v>10</v>
      </c>
      <c r="N30" s="41" t="n">
        <f aca="false">IF(C$5&lt;C30,_xlfn.DAYS(C30,C$5),0)/0.2</f>
        <v>0</v>
      </c>
      <c r="O30" s="12" t="n">
        <f aca="false">(1-N30)*M30</f>
        <v>10</v>
      </c>
      <c r="P30" s="0" t="s">
        <v>70</v>
      </c>
    </row>
    <row r="31" customFormat="false" ht="12.8" hidden="false" customHeight="false" outlineLevel="0" collapsed="false">
      <c r="B31" s="0" t="n">
        <f aca="false">MC346A!A26</f>
        <v>148246</v>
      </c>
      <c r="C31" s="34" t="n">
        <v>42998.0091550926</v>
      </c>
      <c r="D31" s="24" t="n">
        <v>1.7</v>
      </c>
      <c r="E31" s="24" t="n">
        <v>2</v>
      </c>
      <c r="F31" s="24" t="n">
        <v>4058</v>
      </c>
      <c r="G31" s="42" t="n">
        <f aca="false">F31/200-1</f>
        <v>19.29</v>
      </c>
      <c r="H31" s="42" t="n">
        <f aca="false">H$4*(G$4+G$3)/(G31+G$3)</f>
        <v>0.646141895390989</v>
      </c>
      <c r="I31" s="24" t="n">
        <f aca="false">7+3</f>
        <v>10</v>
      </c>
      <c r="J31" s="43" t="n">
        <f aca="false">I31/200</f>
        <v>0.05</v>
      </c>
      <c r="K31" s="44" t="n">
        <f aca="false">K$4*(J$3+J$4)/(J$3+J31)</f>
        <v>0.665714285714286</v>
      </c>
      <c r="L31" s="24" t="n">
        <v>2</v>
      </c>
      <c r="M31" s="45" t="n">
        <f aca="false">MIN(10,D31+E31+H31+K31+L31)</f>
        <v>7.01185618110527</v>
      </c>
      <c r="N31" s="41" t="n">
        <f aca="false">IF(C$5&lt;C31,_xlfn.DAYS(C31,C$5),0)/0.2</f>
        <v>0</v>
      </c>
      <c r="O31" s="12" t="n">
        <f aca="false">(1-N31)*M31</f>
        <v>7.01185618110527</v>
      </c>
      <c r="P31" s="0" t="s">
        <v>79</v>
      </c>
    </row>
    <row r="32" customFormat="false" ht="12.8" hidden="false" customHeight="false" outlineLevel="0" collapsed="false">
      <c r="B32" s="0" t="n">
        <f aca="false">MC346A!A27</f>
        <v>148387</v>
      </c>
      <c r="O32" s="12"/>
    </row>
    <row r="33" customFormat="false" ht="12.8" hidden="false" customHeight="false" outlineLevel="0" collapsed="false">
      <c r="B33" s="0" t="n">
        <f aca="false">MC346A!A28</f>
        <v>149014</v>
      </c>
      <c r="O33" s="12"/>
    </row>
    <row r="34" customFormat="false" ht="12.8" hidden="false" customHeight="false" outlineLevel="0" collapsed="false">
      <c r="B34" s="0" t="n">
        <f aca="false">MC346A!A29</f>
        <v>150604</v>
      </c>
      <c r="C34" s="34" t="n">
        <v>42998.9836342593</v>
      </c>
      <c r="D34" s="24" t="n">
        <v>0</v>
      </c>
      <c r="E34" s="24" t="n">
        <f aca="false">2*95/100</f>
        <v>1.9</v>
      </c>
      <c r="F34" s="24" t="n">
        <v>2126</v>
      </c>
      <c r="G34" s="42" t="n">
        <f aca="false">F34/200-1</f>
        <v>9.63</v>
      </c>
      <c r="H34" s="42" t="n">
        <f aca="false">H$4*(G$4+G$3)/(G34+G$3)</f>
        <v>1.29295336787565</v>
      </c>
      <c r="I34" s="24" t="n">
        <f aca="false">9+22</f>
        <v>31</v>
      </c>
      <c r="J34" s="43" t="n">
        <f aca="false">I34/200</f>
        <v>0.155</v>
      </c>
      <c r="K34" s="44" t="n">
        <f aca="false">K$4*(J$3+J$4)/(J$3+J34)</f>
        <v>0.266285714285714</v>
      </c>
      <c r="L34" s="24" t="n">
        <v>2</v>
      </c>
      <c r="M34" s="45" t="n">
        <f aca="false">MIN(10,D34+E34+H34+K34+L34)</f>
        <v>5.45923908216136</v>
      </c>
      <c r="N34" s="41" t="n">
        <f aca="false">IF(C$5&lt;C34,_xlfn.DAYS(C34,C$5),0)/0.2</f>
        <v>0</v>
      </c>
      <c r="O34" s="12" t="n">
        <f aca="false">(1-N34)*M34</f>
        <v>5.45923908216136</v>
      </c>
      <c r="P34" s="0" t="s">
        <v>80</v>
      </c>
    </row>
    <row r="35" customFormat="false" ht="12.8" hidden="false" customHeight="false" outlineLevel="0" collapsed="false">
      <c r="B35" s="0" t="n">
        <f aca="false">MC346A!A30</f>
        <v>150630</v>
      </c>
      <c r="C35" s="34" t="n">
        <v>42998.785162037</v>
      </c>
      <c r="D35" s="24" t="n">
        <v>0.5</v>
      </c>
      <c r="E35" s="24" t="n">
        <v>2</v>
      </c>
      <c r="F35" s="24" t="n">
        <v>1048</v>
      </c>
      <c r="G35" s="42" t="n">
        <f aca="false">F35/200-1</f>
        <v>4.24</v>
      </c>
      <c r="H35" s="42" t="n">
        <f aca="false">H$4*(G$4+G$3)/(G35+G$3)</f>
        <v>2.92887323943662</v>
      </c>
      <c r="I35" s="24" t="n">
        <f aca="false">11+11</f>
        <v>22</v>
      </c>
      <c r="J35" s="43" t="n">
        <f aca="false">I35/200</f>
        <v>0.11</v>
      </c>
      <c r="K35" s="44" t="n">
        <f aca="false">K$4*(J$3+J$4)/(J$3+J35)</f>
        <v>0.358461538461538</v>
      </c>
      <c r="L35" s="24" t="n">
        <v>2</v>
      </c>
      <c r="M35" s="45" t="n">
        <f aca="false">MIN(10,D35+E35+H35+K35+L35)</f>
        <v>7.78733477789816</v>
      </c>
      <c r="N35" s="41" t="n">
        <f aca="false">IF(C$5&lt;C35,_xlfn.DAYS(C35,C$5),0)/0.2</f>
        <v>0</v>
      </c>
      <c r="O35" s="12" t="n">
        <f aca="false">(1-N35)*M35</f>
        <v>7.78733477789816</v>
      </c>
      <c r="P35" s="0" t="s">
        <v>81</v>
      </c>
    </row>
    <row r="36" customFormat="false" ht="12.8" hidden="false" customHeight="false" outlineLevel="0" collapsed="false">
      <c r="B36" s="0" t="n">
        <f aca="false">MC346A!A31</f>
        <v>155299</v>
      </c>
      <c r="C36" s="34" t="n">
        <v>42996.9181365741</v>
      </c>
      <c r="D36" s="24" t="n">
        <v>1.9</v>
      </c>
      <c r="E36" s="24" t="n">
        <v>2</v>
      </c>
      <c r="F36" s="24" t="n">
        <v>2258</v>
      </c>
      <c r="G36" s="42" t="n">
        <f aca="false">F36/200-1</f>
        <v>10.29</v>
      </c>
      <c r="H36" s="42" t="n">
        <f aca="false">H$4*(G$4+G$3)/(G36+G$3)</f>
        <v>1.2101842870999</v>
      </c>
      <c r="I36" s="24" t="n">
        <f aca="false">56+58</f>
        <v>114</v>
      </c>
      <c r="J36" s="43" t="n">
        <f aca="false">I36/200</f>
        <v>0.57</v>
      </c>
      <c r="K36" s="44" t="n">
        <f aca="false">K$4*(J$3+J$4)/(J$3+J36)</f>
        <v>0.0789830508474576</v>
      </c>
      <c r="L36" s="24" t="n">
        <v>2</v>
      </c>
      <c r="M36" s="45" t="n">
        <f aca="false">MIN(10,D36+E36+H36+K36+L36)</f>
        <v>7.18916733794736</v>
      </c>
      <c r="N36" s="41" t="n">
        <f aca="false">IF(C$5&lt;C36,_xlfn.DAYS(C36,C$5),0)/0.2</f>
        <v>0</v>
      </c>
      <c r="O36" s="12" t="n">
        <f aca="false">(1-N36)*M36</f>
        <v>7.18916733794736</v>
      </c>
      <c r="P36" s="0" t="s">
        <v>82</v>
      </c>
    </row>
    <row r="37" customFormat="false" ht="12.8" hidden="false" customHeight="false" outlineLevel="0" collapsed="false">
      <c r="B37" s="0" t="n">
        <f aca="false">MC346A!A32</f>
        <v>155646</v>
      </c>
      <c r="C37" s="34" t="n">
        <v>43000.0005092593</v>
      </c>
      <c r="D37" s="24" t="n">
        <v>0.7</v>
      </c>
      <c r="E37" s="24" t="n">
        <v>0</v>
      </c>
      <c r="H37" s="42" t="n">
        <v>0</v>
      </c>
      <c r="K37" s="24" t="n">
        <v>0</v>
      </c>
      <c r="L37" s="24" t="n">
        <v>0</v>
      </c>
      <c r="M37" s="45" t="n">
        <f aca="false">MIN(10,D37+E37+H37+K37+L37)</f>
        <v>0.7</v>
      </c>
      <c r="N37" s="41" t="n">
        <f aca="false">IF(C$5&lt;C37,_xlfn.DAYS(C37,C$5),0)*0.2</f>
        <v>0.200240740740264</v>
      </c>
      <c r="O37" s="12" t="n">
        <f aca="false">(1-N37)*M37</f>
        <v>0.559831481481815</v>
      </c>
      <c r="P37" s="0" t="s">
        <v>83</v>
      </c>
    </row>
    <row r="38" customFormat="false" ht="12.8" hidden="false" customHeight="false" outlineLevel="0" collapsed="false">
      <c r="B38" s="0" t="n">
        <f aca="false">MC346A!A33</f>
        <v>155943</v>
      </c>
      <c r="C38" s="34" t="n">
        <v>42998.0423263889</v>
      </c>
      <c r="D38" s="24" t="n">
        <v>1.9</v>
      </c>
      <c r="E38" s="24" t="n">
        <v>2</v>
      </c>
      <c r="F38" s="24" t="n">
        <v>1002</v>
      </c>
      <c r="G38" s="42" t="n">
        <f aca="false">F38/200-1</f>
        <v>4.01</v>
      </c>
      <c r="H38" s="42" t="n">
        <f aca="false">H$4*(G$4+G$3)/(G38+G$3)</f>
        <v>3.09602977667494</v>
      </c>
      <c r="I38" s="24" t="n">
        <f aca="false">8+8</f>
        <v>16</v>
      </c>
      <c r="J38" s="43" t="n">
        <f aca="false">I38/200</f>
        <v>0.08</v>
      </c>
      <c r="K38" s="44" t="n">
        <f aca="false">K$4*(J$3+J$4)/(J$3+J38)</f>
        <v>0.466</v>
      </c>
      <c r="L38" s="24" t="n">
        <v>2</v>
      </c>
      <c r="M38" s="45" t="n">
        <f aca="false">MIN(10,D38+E38+H38+K38+L38)</f>
        <v>9.46202977667494</v>
      </c>
      <c r="N38" s="41" t="n">
        <f aca="false">IF(C$5&lt;C38,_xlfn.DAYS(C38,C$5),0)*0.2</f>
        <v>0</v>
      </c>
      <c r="O38" s="12" t="n">
        <f aca="false">(1-N38)*M38</f>
        <v>9.46202977667494</v>
      </c>
      <c r="P38" s="0" t="s">
        <v>84</v>
      </c>
    </row>
    <row r="39" customFormat="false" ht="12.8" hidden="false" customHeight="false" outlineLevel="0" collapsed="false">
      <c r="B39" s="0" t="n">
        <f aca="false">MC346A!A34</f>
        <v>155976</v>
      </c>
      <c r="O39" s="12"/>
    </row>
    <row r="40" customFormat="false" ht="12.8" hidden="false" customHeight="false" outlineLevel="0" collapsed="false">
      <c r="B40" s="0" t="n">
        <f aca="false">MC346A!A35</f>
        <v>156362</v>
      </c>
      <c r="O40" s="12"/>
    </row>
    <row r="41" customFormat="false" ht="12.8" hidden="false" customHeight="false" outlineLevel="0" collapsed="false">
      <c r="B41" s="0" t="n">
        <f aca="false">MC346A!A36</f>
        <v>156405</v>
      </c>
      <c r="O41" s="12"/>
    </row>
    <row r="42" customFormat="false" ht="12.8" hidden="false" customHeight="false" outlineLevel="0" collapsed="false">
      <c r="B42" s="0" t="n">
        <f aca="false">MC346A!A37</f>
        <v>158336</v>
      </c>
      <c r="O42" s="12"/>
    </row>
    <row r="43" customFormat="false" ht="12.8" hidden="false" customHeight="false" outlineLevel="0" collapsed="false">
      <c r="B43" s="0" t="n">
        <f aca="false">MC346A!A38</f>
        <v>160013</v>
      </c>
      <c r="O43" s="12"/>
    </row>
    <row r="44" customFormat="false" ht="12.8" hidden="false" customHeight="false" outlineLevel="0" collapsed="false">
      <c r="B44" s="0" t="n">
        <f aca="false">MC346A!A39</f>
        <v>160160</v>
      </c>
      <c r="O44" s="12"/>
    </row>
    <row r="45" customFormat="false" ht="12.8" hidden="false" customHeight="false" outlineLevel="0" collapsed="false">
      <c r="B45" s="0" t="n">
        <f aca="false">MC346A!A40</f>
        <v>164213</v>
      </c>
      <c r="C45" s="34" t="n">
        <v>42999.0775694444</v>
      </c>
      <c r="D45" s="24" t="n">
        <v>0.6</v>
      </c>
      <c r="E45" s="24" t="n">
        <v>2</v>
      </c>
      <c r="F45" s="24" t="n">
        <v>1026</v>
      </c>
      <c r="G45" s="42" t="n">
        <f aca="false">F45/200-1</f>
        <v>4.13</v>
      </c>
      <c r="H45" s="42" t="n">
        <f aca="false">H$4*(G$4+G$3)/(G45+G$3)</f>
        <v>3.00650602409639</v>
      </c>
      <c r="I45" s="24" t="n">
        <f aca="false">6+6</f>
        <v>12</v>
      </c>
      <c r="J45" s="43" t="n">
        <f aca="false">I45/200</f>
        <v>0.06</v>
      </c>
      <c r="K45" s="44" t="n">
        <f aca="false">K$4*(J$3+J$4)/(J$3+J45)</f>
        <v>0.5825</v>
      </c>
      <c r="L45" s="24" t="n">
        <v>2</v>
      </c>
      <c r="M45" s="45" t="n">
        <f aca="false">MIN(10,D45+E45+H45+K45+L45)</f>
        <v>8.18900602409639</v>
      </c>
      <c r="N45" s="41" t="n">
        <f aca="false">IF(C$5&lt;C45,_xlfn.DAYS(C45,C$5),0)*0.2</f>
        <v>0.0156527777609881</v>
      </c>
      <c r="O45" s="12" t="n">
        <f aca="false">(1-N45)*M45</f>
        <v>8.06082533271781</v>
      </c>
      <c r="P45" s="0" t="s">
        <v>85</v>
      </c>
    </row>
    <row r="46" customFormat="false" ht="12.8" hidden="false" customHeight="false" outlineLevel="0" collapsed="false">
      <c r="B46" s="0" t="n">
        <f aca="false">MC346A!A41</f>
        <v>164468</v>
      </c>
      <c r="C46" s="34" t="n">
        <v>42999.0590277778</v>
      </c>
      <c r="D46" s="24" t="n">
        <v>1.5</v>
      </c>
      <c r="E46" s="24" t="n">
        <v>2</v>
      </c>
      <c r="F46" s="24" t="n">
        <v>1002</v>
      </c>
      <c r="G46" s="42" t="n">
        <f aca="false">F46/200-1</f>
        <v>4.01</v>
      </c>
      <c r="H46" s="42" t="n">
        <f aca="false">H$4*(G$4+G$3)/(G46+G$3)</f>
        <v>3.09602977667494</v>
      </c>
      <c r="I46" s="24" t="n">
        <f aca="false">8+7</f>
        <v>15</v>
      </c>
      <c r="J46" s="43" t="n">
        <f aca="false">I46/200</f>
        <v>0.075</v>
      </c>
      <c r="K46" s="44" t="n">
        <f aca="false">K$4*(J$3+J$4)/(J$3+J46)</f>
        <v>0.490526315789474</v>
      </c>
      <c r="L46" s="24" t="n">
        <v>2</v>
      </c>
      <c r="M46" s="45" t="n">
        <f aca="false">MIN(10,D46+E46+H46+K46+L46)</f>
        <v>9.08655609246441</v>
      </c>
      <c r="N46" s="41" t="n">
        <f aca="false">IF(C$5&lt;C46,_xlfn.DAYS(C46,C$5),0)*0.2</f>
        <v>0.0119444444411784</v>
      </c>
      <c r="O46" s="12" t="n">
        <f aca="false">(1-N46)*M46</f>
        <v>8.97802222805632</v>
      </c>
      <c r="P46" s="0" t="s">
        <v>86</v>
      </c>
    </row>
    <row r="47" customFormat="false" ht="12.8" hidden="false" customHeight="false" outlineLevel="0" collapsed="false">
      <c r="B47" s="0" t="n">
        <f aca="false">MC346A!A42</f>
        <v>164700</v>
      </c>
      <c r="O47" s="12"/>
    </row>
    <row r="48" customFormat="false" ht="12.8" hidden="false" customHeight="false" outlineLevel="0" collapsed="false">
      <c r="B48" s="0" t="n">
        <f aca="false">MC346A!A43</f>
        <v>166082</v>
      </c>
      <c r="O48" s="12"/>
    </row>
    <row r="49" customFormat="false" ht="12.8" hidden="false" customHeight="false" outlineLevel="0" collapsed="false">
      <c r="B49" s="0" t="n">
        <f aca="false">MC346A!A44</f>
        <v>166213</v>
      </c>
      <c r="C49" s="34" t="n">
        <v>42998.9875</v>
      </c>
      <c r="D49" s="24" t="n">
        <v>1.8</v>
      </c>
      <c r="E49" s="24" t="n">
        <v>2</v>
      </c>
      <c r="F49" s="24" t="n">
        <v>4018</v>
      </c>
      <c r="G49" s="42" t="n">
        <f aca="false">F49/200-1</f>
        <v>19.09</v>
      </c>
      <c r="H49" s="42" t="n">
        <f aca="false">H$4*(G$4+G$3)/(G49+G$3)</f>
        <v>0.652904238618524</v>
      </c>
      <c r="I49" s="24" t="n">
        <f aca="false">8+7</f>
        <v>15</v>
      </c>
      <c r="J49" s="43" t="n">
        <f aca="false">I49/200</f>
        <v>0.075</v>
      </c>
      <c r="K49" s="44" t="n">
        <f aca="false">K$4*(J$3+J$4)/(J$3+J49)</f>
        <v>0.490526315789474</v>
      </c>
      <c r="L49" s="24" t="n">
        <v>2</v>
      </c>
      <c r="M49" s="45" t="n">
        <f aca="false">MIN(10,D49+E49+H49+K49+L49)</f>
        <v>6.943430554408</v>
      </c>
      <c r="N49" s="41" t="n">
        <f aca="false">IF(C$5&lt;C49,_xlfn.DAYS(C49,C$5),0)*0.2</f>
        <v>0</v>
      </c>
      <c r="O49" s="12" t="n">
        <f aca="false">(1-N49)*M49</f>
        <v>6.943430554408</v>
      </c>
      <c r="P49" s="0" t="s">
        <v>87</v>
      </c>
    </row>
    <row r="50" customFormat="false" ht="12.8" hidden="false" customHeight="false" outlineLevel="0" collapsed="false">
      <c r="B50" s="0" t="n">
        <f aca="false">MC346A!A45</f>
        <v>166249</v>
      </c>
      <c r="C50" s="34" t="n">
        <v>42998.999212963</v>
      </c>
      <c r="D50" s="24" t="n">
        <v>1.5</v>
      </c>
      <c r="E50" s="24" t="n">
        <v>2</v>
      </c>
      <c r="F50" s="24" t="n">
        <v>1410</v>
      </c>
      <c r="G50" s="42" t="n">
        <f aca="false">F50/200-1</f>
        <v>6.05</v>
      </c>
      <c r="H50" s="42" t="n">
        <f aca="false">H$4*(G$4+G$3)/(G50+G$3)</f>
        <v>2.05551894563427</v>
      </c>
      <c r="I50" s="24" t="n">
        <f aca="false">9+9</f>
        <v>18</v>
      </c>
      <c r="J50" s="43" t="n">
        <f aca="false">I50/200</f>
        <v>0.09</v>
      </c>
      <c r="K50" s="44" t="n">
        <f aca="false">K$4*(J$3+J$4)/(J$3+J50)</f>
        <v>0.423636363636364</v>
      </c>
      <c r="L50" s="24" t="n">
        <v>2</v>
      </c>
      <c r="M50" s="45" t="n">
        <f aca="false">MIN(10,D50+E50+H50+K50+L50)</f>
        <v>7.97915530927063</v>
      </c>
      <c r="N50" s="41" t="n">
        <f aca="false">IF(C$5&lt;C50,_xlfn.DAYS(C50,C$5),0)*0.2</f>
        <v>0</v>
      </c>
      <c r="O50" s="12" t="n">
        <f aca="false">(1-N50)*M50</f>
        <v>7.97915530927063</v>
      </c>
      <c r="P50" s="0" t="s">
        <v>88</v>
      </c>
    </row>
    <row r="51" customFormat="false" ht="12.8" hidden="false" customHeight="false" outlineLevel="0" collapsed="false">
      <c r="B51" s="0" t="n">
        <f aca="false">MC346A!A46</f>
        <v>168357</v>
      </c>
      <c r="O51" s="12"/>
    </row>
    <row r="52" customFormat="false" ht="12.8" hidden="false" customHeight="false" outlineLevel="0" collapsed="false">
      <c r="B52" s="0" t="n">
        <f aca="false">MC346A!A47</f>
        <v>168891</v>
      </c>
      <c r="C52" s="34" t="n">
        <v>42998.9588425926</v>
      </c>
      <c r="D52" s="24" t="n">
        <v>2</v>
      </c>
      <c r="E52" s="24" t="n">
        <v>2</v>
      </c>
      <c r="F52" s="24" t="n">
        <v>1732</v>
      </c>
      <c r="G52" s="42" t="n">
        <f aca="false">F52/200-1</f>
        <v>7.66</v>
      </c>
      <c r="H52" s="42" t="n">
        <f aca="false">H$4*(G$4+G$3)/(G52+G$3)</f>
        <v>1.624609375</v>
      </c>
      <c r="I52" s="24" t="n">
        <f aca="false">7+6</f>
        <v>13</v>
      </c>
      <c r="J52" s="43" t="n">
        <f aca="false">I52/200</f>
        <v>0.065</v>
      </c>
      <c r="K52" s="44" t="n">
        <f aca="false">K$4*(J$3+J$4)/(J$3+J52)</f>
        <v>0.548235294117647</v>
      </c>
      <c r="L52" s="29" t="n">
        <f aca="false">359/360*2</f>
        <v>1.99444444444444</v>
      </c>
      <c r="M52" s="45" t="n">
        <f aca="false">MIN(10,D52+E52+H52+K52+L52)</f>
        <v>8.16728911356209</v>
      </c>
      <c r="N52" s="41" t="n">
        <f aca="false">IF(C$5&lt;C52,_xlfn.DAYS(C52,C$5),0)*0.2</f>
        <v>0</v>
      </c>
      <c r="O52" s="12" t="n">
        <f aca="false">(1-N52)*M52</f>
        <v>8.16728911356209</v>
      </c>
      <c r="P52" s="0" t="s">
        <v>89</v>
      </c>
    </row>
    <row r="53" customFormat="false" ht="12.8" hidden="false" customHeight="false" outlineLevel="0" collapsed="false">
      <c r="B53" s="0" t="n">
        <f aca="false">MC346A!A48</f>
        <v>169621</v>
      </c>
      <c r="C53" s="34" t="n">
        <v>42998.9068634259</v>
      </c>
      <c r="D53" s="24" t="n">
        <v>1.5</v>
      </c>
      <c r="E53" s="24" t="n">
        <v>2</v>
      </c>
      <c r="F53" s="24" t="n">
        <v>882</v>
      </c>
      <c r="G53" s="42" t="n">
        <f aca="false">F53/200-1</f>
        <v>3.41</v>
      </c>
      <c r="H53" s="42" t="n">
        <f aca="false">H$4*(G$4+G$3)/(G53+G$3)</f>
        <v>3.63760932944606</v>
      </c>
      <c r="I53" s="24" t="n">
        <f aca="false">1212+479</f>
        <v>1691</v>
      </c>
      <c r="J53" s="43" t="n">
        <f aca="false">I53/200</f>
        <v>8.455</v>
      </c>
      <c r="K53" s="44" t="n">
        <f aca="false">K$4*(J$3+J$4)/(J$3+J53)</f>
        <v>0.00549852507374631</v>
      </c>
      <c r="L53" s="24" t="n">
        <f aca="false">96/100*2</f>
        <v>1.92</v>
      </c>
      <c r="M53" s="45" t="n">
        <f aca="false">MIN(10,D53+E53+H53+K53+L53)</f>
        <v>9.06310785451981</v>
      </c>
      <c r="N53" s="41" t="n">
        <f aca="false">IF(C$5&lt;C53,_xlfn.DAYS(C53,C$5),0)*0.2</f>
        <v>0</v>
      </c>
      <c r="O53" s="12" t="n">
        <f aca="false">(1-N53)*M53</f>
        <v>9.06310785451981</v>
      </c>
      <c r="P53" s="0" t="s">
        <v>90</v>
      </c>
    </row>
    <row r="54" customFormat="false" ht="12.8" hidden="false" customHeight="false" outlineLevel="0" collapsed="false">
      <c r="B54" s="0" t="n">
        <f aca="false">MC346A!A49</f>
        <v>169820</v>
      </c>
      <c r="C54" s="34" t="n">
        <v>42995.91875</v>
      </c>
      <c r="D54" s="24" t="n">
        <v>1.5</v>
      </c>
      <c r="E54" s="24" t="n">
        <v>2</v>
      </c>
      <c r="F54" s="24" t="n">
        <v>1040</v>
      </c>
      <c r="G54" s="42" t="n">
        <f aca="false">F54/200-1</f>
        <v>4.2</v>
      </c>
      <c r="H54" s="42" t="n">
        <f aca="false">H$4*(G$4+G$3)/(G54+G$3)</f>
        <v>2.95663507109005</v>
      </c>
      <c r="I54" s="24" t="n">
        <v>7</v>
      </c>
      <c r="J54" s="43" t="n">
        <f aca="false">I54/100</f>
        <v>0.07</v>
      </c>
      <c r="K54" s="44" t="n">
        <f aca="false">K$4*(J$3+J$4)/(J$3+J54)</f>
        <v>0.517777777777778</v>
      </c>
      <c r="L54" s="24" t="n">
        <v>0</v>
      </c>
      <c r="M54" s="45" t="n">
        <f aca="false">MIN(10,D54+E54+H54+K54+L54)</f>
        <v>6.97441284886783</v>
      </c>
      <c r="N54" s="41" t="n">
        <f aca="false">IF(C$5&lt;C54,_xlfn.DAYS(C54,C$5),0)*0.2</f>
        <v>0</v>
      </c>
      <c r="O54" s="12" t="n">
        <f aca="false">(1-N54)*M54</f>
        <v>6.97441284886783</v>
      </c>
      <c r="P54" s="0" t="s">
        <v>91</v>
      </c>
    </row>
    <row r="55" customFormat="false" ht="12.8" hidden="false" customHeight="false" outlineLevel="0" collapsed="false">
      <c r="B55" s="0" t="n">
        <f aca="false">MC346A!A50</f>
        <v>170207</v>
      </c>
      <c r="C55" s="34" t="n">
        <v>42997.7291666667</v>
      </c>
      <c r="D55" s="24" t="n">
        <v>0.8</v>
      </c>
      <c r="E55" s="24" t="n">
        <v>2</v>
      </c>
      <c r="F55" s="24" t="n">
        <v>1026</v>
      </c>
      <c r="G55" s="42" t="n">
        <f aca="false">F55/200-1</f>
        <v>4.13</v>
      </c>
      <c r="H55" s="42" t="n">
        <f aca="false">H$4*(G$4+G$3)/(G55+G$3)</f>
        <v>3.00650602409639</v>
      </c>
      <c r="I55" s="24" t="n">
        <v>7</v>
      </c>
      <c r="J55" s="43" t="n">
        <f aca="false">I55/100</f>
        <v>0.07</v>
      </c>
      <c r="K55" s="44" t="n">
        <f aca="false">K$4*(J$3+J$4)/(J$3+J55)</f>
        <v>0.517777777777778</v>
      </c>
      <c r="L55" s="24" t="n">
        <v>0</v>
      </c>
      <c r="M55" s="45" t="n">
        <f aca="false">MIN(10,D55+E55+H55+K55+L55)</f>
        <v>6.32428380187416</v>
      </c>
      <c r="N55" s="41" t="n">
        <f aca="false">IF(C$5&lt;C55,_xlfn.DAYS(C55,C$5),0)*0.2</f>
        <v>0</v>
      </c>
      <c r="O55" s="12" t="n">
        <f aca="false">(1-N55)*M55</f>
        <v>6.32428380187416</v>
      </c>
      <c r="P55" s="0" t="s">
        <v>92</v>
      </c>
    </row>
    <row r="56" customFormat="false" ht="12.8" hidden="false" customHeight="false" outlineLevel="0" collapsed="false">
      <c r="B56" s="0" t="n">
        <f aca="false">MC346A!A51</f>
        <v>170710</v>
      </c>
      <c r="C56" s="34" t="n">
        <v>42999.7070949074</v>
      </c>
      <c r="D56" s="24" t="n">
        <v>1.3</v>
      </c>
      <c r="E56" s="24" t="n">
        <v>2</v>
      </c>
      <c r="F56" s="24" t="n">
        <v>34190</v>
      </c>
      <c r="G56" s="42" t="n">
        <f aca="false">F56/200-1</f>
        <v>169.95</v>
      </c>
      <c r="H56" s="42" t="n">
        <f aca="false">H$4*(G$4+G$3)/(G56+G$3)</f>
        <v>0.0734070718362064</v>
      </c>
      <c r="I56" s="24" t="n">
        <f aca="false">11+10</f>
        <v>21</v>
      </c>
      <c r="J56" s="43" t="n">
        <f aca="false">I56/200</f>
        <v>0.105</v>
      </c>
      <c r="K56" s="44" t="n">
        <f aca="false">K$4*(J$3+J$4)/(J$3+J56)</f>
        <v>0.3728</v>
      </c>
      <c r="L56" s="24" t="n">
        <v>2</v>
      </c>
      <c r="M56" s="45" t="n">
        <f aca="false">MIN(10,D56+E56+H56+K56+L56)</f>
        <v>5.74620707183621</v>
      </c>
      <c r="N56" s="41" t="n">
        <f aca="false">IF(C$5&lt;C56,_xlfn.DAYS(C56,C$5),0)*0.2</f>
        <v>0.141557870359975</v>
      </c>
      <c r="O56" s="12" t="n">
        <f aca="false">(1-N56)*M56</f>
        <v>4.93278623609965</v>
      </c>
      <c r="P56" s="0" t="s">
        <v>93</v>
      </c>
    </row>
    <row r="57" customFormat="false" ht="12.8" hidden="false" customHeight="false" outlineLevel="0" collapsed="false">
      <c r="B57" s="0" t="n">
        <f aca="false">MC346A!A52</f>
        <v>171866</v>
      </c>
      <c r="C57" s="34" t="n">
        <v>42992.6118055556</v>
      </c>
      <c r="D57" s="24" t="n">
        <v>1.5</v>
      </c>
      <c r="E57" s="29" t="n">
        <f aca="false">345/360*2</f>
        <v>1.91666666666667</v>
      </c>
      <c r="F57" s="24" t="n">
        <v>5136</v>
      </c>
      <c r="G57" s="42" t="n">
        <f aca="false">F57/720-1</f>
        <v>6.13333333333333</v>
      </c>
      <c r="H57" s="42" t="n">
        <f aca="false">H$4*(G$4+G$3)/(G57+G$3)</f>
        <v>2.02768147345612</v>
      </c>
      <c r="I57" s="24" t="n">
        <f aca="false">14+14</f>
        <v>28</v>
      </c>
      <c r="J57" s="43" t="n">
        <f aca="false">I57/720</f>
        <v>0.0388888888888889</v>
      </c>
      <c r="K57" s="44" t="n">
        <f aca="false">K$4*(J$3+J$4)/(J$3+J57)</f>
        <v>0.791320754716981</v>
      </c>
      <c r="L57" s="24" t="n">
        <v>2</v>
      </c>
      <c r="M57" s="45" t="n">
        <f aca="false">MIN(10,D57+E57+H57+K57+L57)</f>
        <v>8.23566889483977</v>
      </c>
      <c r="N57" s="41" t="n">
        <f aca="false">IF(C$5&lt;C57,_xlfn.DAYS(C57,C$5),0)*0.2</f>
        <v>0</v>
      </c>
      <c r="O57" s="12" t="n">
        <f aca="false">(1-N57)*M57</f>
        <v>8.23566889483977</v>
      </c>
      <c r="P57" s="0" t="s">
        <v>94</v>
      </c>
    </row>
    <row r="58" customFormat="false" ht="12.8" hidden="false" customHeight="false" outlineLevel="0" collapsed="false">
      <c r="B58" s="0" t="n">
        <f aca="false">MC346A!A53</f>
        <v>172017</v>
      </c>
      <c r="C58" s="34" t="n">
        <v>42999.6291550926</v>
      </c>
      <c r="D58" s="24" t="n">
        <v>1.1</v>
      </c>
      <c r="H58" s="42" t="n">
        <v>0</v>
      </c>
      <c r="M58" s="45" t="n">
        <f aca="false">MIN(10,D58+E58+H58+K58+L58)</f>
        <v>1.1</v>
      </c>
      <c r="N58" s="41" t="n">
        <f aca="false">IF(C$5&lt;C58,_xlfn.DAYS(C58,C$5),0)*0.2</f>
        <v>0.125969907401304</v>
      </c>
      <c r="O58" s="12" t="n">
        <f aca="false">(1-N58)*M58</f>
        <v>0.961433101858565</v>
      </c>
      <c r="P58" s="0" t="s">
        <v>95</v>
      </c>
    </row>
    <row r="59" customFormat="false" ht="12.8" hidden="false" customHeight="false" outlineLevel="0" collapsed="false">
      <c r="B59" s="0" t="n">
        <f aca="false">MC346A!A54</f>
        <v>172519</v>
      </c>
      <c r="C59" s="34" t="n">
        <v>43001.0701967593</v>
      </c>
      <c r="D59" s="24" t="n">
        <v>1</v>
      </c>
      <c r="E59" s="24" t="n">
        <v>1.5</v>
      </c>
      <c r="F59" s="24" t="n">
        <v>2166</v>
      </c>
      <c r="G59" s="42" t="n">
        <f aca="false">F59/200-1</f>
        <v>9.83</v>
      </c>
      <c r="H59" s="42" t="n">
        <f aca="false">H$4*(G$4+G$3)/(G59+G$3)</f>
        <v>1.26670050761421</v>
      </c>
      <c r="I59" s="24" t="n">
        <f aca="false">12+70</f>
        <v>82</v>
      </c>
      <c r="J59" s="43" t="n">
        <f aca="false">I59/200</f>
        <v>0.41</v>
      </c>
      <c r="K59" s="44" t="n">
        <f aca="false">K$4*(J$3+J$4)/(J$3+J59)</f>
        <v>0.108372093023256</v>
      </c>
      <c r="L59" s="24" t="n">
        <f aca="false">87/100*2</f>
        <v>1.74</v>
      </c>
      <c r="M59" s="45" t="n">
        <f aca="false">MIN(10,D59+E59+H59+K59+L59)</f>
        <v>5.61507260063747</v>
      </c>
      <c r="N59" s="41" t="n">
        <f aca="false">IF(C$5&lt;C59,_xlfn.DAYS(C59,C$5),0)*0.2</f>
        <v>0.414178240740148</v>
      </c>
      <c r="O59" s="12" t="n">
        <f aca="false">(1-N59)*M59</f>
        <v>3.28943170927723</v>
      </c>
      <c r="P59" s="0" t="s">
        <v>96</v>
      </c>
    </row>
    <row r="60" customFormat="false" ht="12.8" hidden="false" customHeight="false" outlineLevel="0" collapsed="false">
      <c r="B60" s="0" t="n">
        <f aca="false">MC346A!A55</f>
        <v>172608</v>
      </c>
      <c r="C60" s="34" t="n">
        <v>42998.9952430556</v>
      </c>
      <c r="D60" s="24" t="n">
        <v>1</v>
      </c>
      <c r="G60" s="42"/>
      <c r="H60" s="42" t="n">
        <v>0</v>
      </c>
      <c r="J60" s="43"/>
      <c r="K60" s="44"/>
      <c r="M60" s="45" t="n">
        <f aca="false">MIN(10,D60+E60+H60+K60+L60)</f>
        <v>1</v>
      </c>
      <c r="N60" s="41" t="n">
        <f aca="false">IF(C$5&lt;C60,_xlfn.DAYS(C60,C$5),0)*0.2</f>
        <v>0</v>
      </c>
      <c r="O60" s="12" t="n">
        <f aca="false">(1-N60)*M60</f>
        <v>1</v>
      </c>
      <c r="P60" s="0" t="s">
        <v>97</v>
      </c>
    </row>
    <row r="61" customFormat="false" ht="12.8" hidden="false" customHeight="false" outlineLevel="0" collapsed="false">
      <c r="B61" s="0" t="n">
        <f aca="false">MC346A!A56</f>
        <v>172655</v>
      </c>
      <c r="C61" s="34" t="n">
        <v>42997.3891435185</v>
      </c>
      <c r="D61" s="24" t="n">
        <v>0.5</v>
      </c>
      <c r="E61" s="24" t="n">
        <v>2</v>
      </c>
      <c r="F61" s="24" t="n">
        <v>1048</v>
      </c>
      <c r="G61" s="42" t="n">
        <f aca="false">F61/200-1</f>
        <v>4.24</v>
      </c>
      <c r="H61" s="42" t="n">
        <f aca="false">H$4*(G$4+G$3)/(G61+G$3)</f>
        <v>2.92887323943662</v>
      </c>
      <c r="I61" s="24" t="n">
        <v>15</v>
      </c>
      <c r="J61" s="43" t="n">
        <f aca="false">I61/200</f>
        <v>0.075</v>
      </c>
      <c r="K61" s="44" t="n">
        <f aca="false">K$4*(J$3+J$4)/(J$3+J61)</f>
        <v>0.490526315789474</v>
      </c>
      <c r="L61" s="24" t="n">
        <v>2</v>
      </c>
      <c r="M61" s="45" t="n">
        <f aca="false">MIN(10,D61+E61+H61+K61+L61)</f>
        <v>7.91939955522609</v>
      </c>
      <c r="N61" s="41" t="n">
        <f aca="false">IF(C$5&lt;C61,_xlfn.DAYS(C61,C$5),0)*0.2</f>
        <v>0</v>
      </c>
      <c r="O61" s="12" t="n">
        <f aca="false">(1-N61)*M61</f>
        <v>7.91939955522609</v>
      </c>
      <c r="P61" s="0" t="s">
        <v>98</v>
      </c>
    </row>
    <row r="62" customFormat="false" ht="12.8" hidden="false" customHeight="false" outlineLevel="0" collapsed="false">
      <c r="B62" s="0" t="n">
        <f aca="false">MC346A!A57</f>
        <v>173728</v>
      </c>
      <c r="O62" s="12"/>
    </row>
    <row r="63" customFormat="false" ht="12.8" hidden="false" customHeight="false" outlineLevel="0" collapsed="false">
      <c r="B63" s="0" t="n">
        <f aca="false">MC346A!A58</f>
        <v>174233</v>
      </c>
      <c r="C63" s="34" t="n">
        <v>42998.9230787037</v>
      </c>
      <c r="D63" s="24" t="n">
        <v>1.3</v>
      </c>
      <c r="E63" s="24" t="n">
        <v>0</v>
      </c>
      <c r="G63" s="42"/>
      <c r="H63" s="42" t="n">
        <v>0</v>
      </c>
      <c r="J63" s="43"/>
      <c r="K63" s="44" t="n">
        <v>0</v>
      </c>
      <c r="L63" s="24" t="n">
        <f aca="false">2*22/100</f>
        <v>0.44</v>
      </c>
      <c r="M63" s="45" t="n">
        <f aca="false">MIN(10,D63+E63+H63+K63+L63)</f>
        <v>1.74</v>
      </c>
      <c r="N63" s="41" t="n">
        <f aca="false">IF(C$5&lt;C63,_xlfn.DAYS(C63,C$5),0)*0.2</f>
        <v>0</v>
      </c>
      <c r="O63" s="12" t="n">
        <f aca="false">(1-N63)*M63</f>
        <v>1.74</v>
      </c>
      <c r="P63" s="0" t="s">
        <v>99</v>
      </c>
    </row>
    <row r="64" customFormat="false" ht="12.8" hidden="false" customHeight="false" outlineLevel="0" collapsed="false">
      <c r="B64" s="0" t="n">
        <f aca="false">MC346A!A59</f>
        <v>174847</v>
      </c>
      <c r="O64" s="12"/>
    </row>
    <row r="65" customFormat="false" ht="12.8" hidden="false" customHeight="false" outlineLevel="0" collapsed="false">
      <c r="B65" s="0" t="n">
        <f aca="false">MC346A!A60</f>
        <v>175828</v>
      </c>
      <c r="C65" s="34" t="n">
        <v>42996.6233796296</v>
      </c>
      <c r="D65" s="24" t="n">
        <v>0.5</v>
      </c>
      <c r="E65" s="24" t="n">
        <v>2</v>
      </c>
      <c r="F65" s="24" t="n">
        <v>4378</v>
      </c>
      <c r="G65" s="42" t="n">
        <f aca="false">F65/200-1</f>
        <v>20.89</v>
      </c>
      <c r="H65" s="42" t="n">
        <f aca="false">H$4*(G$4+G$3)/(G65+G$3)</f>
        <v>0.596700143472023</v>
      </c>
      <c r="I65" s="24" t="n">
        <f aca="false">3+3</f>
        <v>6</v>
      </c>
      <c r="J65" s="43" t="n">
        <f aca="false">I65/200</f>
        <v>0.03</v>
      </c>
      <c r="K65" s="44" t="n">
        <f aca="false">K$4*(J$3+J$4)/(J$3+J65)</f>
        <v>0.932</v>
      </c>
      <c r="L65" s="24" t="n">
        <v>2</v>
      </c>
      <c r="M65" s="45" t="n">
        <f aca="false">MIN(10,D65+E65+H65+K65+L65)</f>
        <v>6.02870014347202</v>
      </c>
      <c r="N65" s="41" t="n">
        <f aca="false">IF(C$5&lt;C65,_xlfn.DAYS(C65,C$5),0)*0.2</f>
        <v>0</v>
      </c>
      <c r="O65" s="12" t="n">
        <f aca="false">(1-N65)*M65</f>
        <v>6.02870014347202</v>
      </c>
      <c r="P65" s="0" t="s">
        <v>100</v>
      </c>
    </row>
    <row r="66" customFormat="false" ht="12.8" hidden="false" customHeight="false" outlineLevel="0" collapsed="false">
      <c r="B66" s="0" t="n">
        <f aca="false">MC346A!A61</f>
        <v>175955</v>
      </c>
      <c r="O66" s="12"/>
    </row>
    <row r="67" customFormat="false" ht="12.8" hidden="false" customHeight="false" outlineLevel="0" collapsed="false">
      <c r="B67" s="0" t="n">
        <f aca="false">MC346A!A62</f>
        <v>176081</v>
      </c>
      <c r="C67" s="34" t="n">
        <v>42999.0166782407</v>
      </c>
      <c r="D67" s="24" t="n">
        <v>2</v>
      </c>
      <c r="E67" s="24" t="n">
        <v>2</v>
      </c>
      <c r="F67" s="24" t="n">
        <v>1008</v>
      </c>
      <c r="G67" s="42" t="n">
        <f aca="false">F67/200-1</f>
        <v>4.04</v>
      </c>
      <c r="H67" s="42" t="n">
        <f aca="false">H$4*(G$4+G$3)/(G67+G$3)</f>
        <v>3.07315270935961</v>
      </c>
      <c r="I67" s="24" t="n">
        <f aca="false">7+7</f>
        <v>14</v>
      </c>
      <c r="J67" s="43" t="n">
        <f aca="false">I67/200</f>
        <v>0.07</v>
      </c>
      <c r="K67" s="44" t="n">
        <f aca="false">K$4*(J$3+J$4)/(J$3+J67)</f>
        <v>0.517777777777778</v>
      </c>
      <c r="L67" s="24" t="n">
        <v>2</v>
      </c>
      <c r="M67" s="45" t="n">
        <f aca="false">MIN(10,D67+E67+H67+K67+L67)</f>
        <v>9.59093048713739</v>
      </c>
      <c r="N67" s="41" t="n">
        <f aca="false">IF(C$5&lt;C67,_xlfn.DAYS(C67,C$5),0)*0.2</f>
        <v>0.00347453702124767</v>
      </c>
      <c r="O67" s="12" t="n">
        <f aca="false">(1-N67)*M67</f>
        <v>9.55760644409161</v>
      </c>
      <c r="P67" s="0" t="s">
        <v>101</v>
      </c>
    </row>
    <row r="68" customFormat="false" ht="12.8" hidden="false" customHeight="false" outlineLevel="0" collapsed="false">
      <c r="B68" s="0" t="n">
        <f aca="false">MC346A!A63</f>
        <v>176127</v>
      </c>
      <c r="C68" s="34" t="n">
        <v>42985.8354166667</v>
      </c>
      <c r="D68" s="24" t="n">
        <v>2</v>
      </c>
      <c r="E68" s="24" t="n">
        <v>2</v>
      </c>
      <c r="F68" s="24" t="n">
        <v>3706</v>
      </c>
      <c r="G68" s="42" t="n">
        <f aca="false">F68/720-1</f>
        <v>4.14722222222222</v>
      </c>
      <c r="H68" s="42" t="n">
        <f aca="false">H$4*(G$4+G$3)/(G68+G$3)</f>
        <v>2.9940807892281</v>
      </c>
      <c r="I68" s="24" t="n">
        <v>61</v>
      </c>
      <c r="J68" s="43" t="n">
        <f aca="false">I68/720</f>
        <v>0.0847222222222222</v>
      </c>
      <c r="K68" s="44" t="n">
        <f aca="false">K$4*(J$3+J$4)/(J$3+J68)</f>
        <v>0.444986737400531</v>
      </c>
      <c r="L68" s="24" t="n">
        <v>2</v>
      </c>
      <c r="M68" s="45" t="n">
        <f aca="false">MIN(10,D68+E68+H68+K68+L68)</f>
        <v>9.43906752662863</v>
      </c>
      <c r="N68" s="41" t="n">
        <f aca="false">IF(C$5&lt;C68,_xlfn.DAYS(C68,C$5),0)*0.2</f>
        <v>0</v>
      </c>
      <c r="O68" s="12" t="n">
        <f aca="false">(1-N68)*M68</f>
        <v>9.43906752662863</v>
      </c>
      <c r="P68" s="0" t="s">
        <v>102</v>
      </c>
    </row>
    <row r="69" customFormat="false" ht="12.8" hidden="false" customHeight="false" outlineLevel="0" collapsed="false">
      <c r="B69" s="0" t="n">
        <f aca="false">MC346A!A64</f>
        <v>177065</v>
      </c>
      <c r="C69" s="34" t="n">
        <v>42998.6005439815</v>
      </c>
      <c r="D69" s="24" t="n">
        <v>1.8</v>
      </c>
      <c r="E69" s="24" t="n">
        <v>2</v>
      </c>
      <c r="F69" s="24" t="n">
        <v>1388</v>
      </c>
      <c r="G69" s="42" t="n">
        <f aca="false">F69/200-1</f>
        <v>5.94</v>
      </c>
      <c r="H69" s="42" t="n">
        <f aca="false">H$4*(G$4+G$3)/(G69+G$3)</f>
        <v>2.09345637583893</v>
      </c>
      <c r="I69" s="24" t="n">
        <v>9</v>
      </c>
      <c r="J69" s="43" t="n">
        <f aca="false">I69/100</f>
        <v>0.09</v>
      </c>
      <c r="K69" s="44" t="n">
        <f aca="false">K$4*(J$3+J$4)/(J$3+J69)</f>
        <v>0.423636363636364</v>
      </c>
      <c r="L69" s="24" t="n">
        <v>0</v>
      </c>
      <c r="M69" s="45" t="n">
        <f aca="false">MIN(10,D69+E69+H69+K69+L69)</f>
        <v>6.31709273947529</v>
      </c>
      <c r="N69" s="41" t="n">
        <f aca="false">IF(C$5&lt;C69,_xlfn.DAYS(C69,C$5),0)*0.2</f>
        <v>0</v>
      </c>
      <c r="O69" s="12" t="n">
        <f aca="false">(1-N69)*M69</f>
        <v>6.31709273947529</v>
      </c>
      <c r="P69" s="0" t="s">
        <v>92</v>
      </c>
    </row>
    <row r="70" customFormat="false" ht="12.8" hidden="false" customHeight="false" outlineLevel="0" collapsed="false">
      <c r="B70" s="0" t="n">
        <f aca="false">MC346A!A65</f>
        <v>177677</v>
      </c>
      <c r="C70" s="34" t="n">
        <v>43000.2048611111</v>
      </c>
      <c r="D70" s="24" t="n">
        <v>2</v>
      </c>
      <c r="E70" s="24" t="n">
        <f aca="false">2*68/100</f>
        <v>1.36</v>
      </c>
      <c r="F70" s="24" t="n">
        <v>1506</v>
      </c>
      <c r="G70" s="42" t="n">
        <f aca="false">F70/136-1</f>
        <v>10.0735294117647</v>
      </c>
      <c r="H70" s="42" t="n">
        <f aca="false">H$4*(G$4+G$3)/(G70+G$3)</f>
        <v>1.23613846960779</v>
      </c>
      <c r="I70" s="24" t="n">
        <f aca="false">53+86</f>
        <v>139</v>
      </c>
      <c r="J70" s="43" t="n">
        <f aca="false">I70/100</f>
        <v>1.39</v>
      </c>
      <c r="K70" s="44" t="n">
        <f aca="false">K$4*(J$3+J$4)/(J$3+J70)</f>
        <v>0.0330496453900709</v>
      </c>
      <c r="L70" s="24" t="n">
        <v>0</v>
      </c>
      <c r="M70" s="45" t="n">
        <f aca="false">MIN(10,D70+E70+H70+K70+L70)</f>
        <v>4.62918811499786</v>
      </c>
      <c r="N70" s="41" t="n">
        <f aca="false">IF(C$5&lt;C70,_xlfn.DAYS(C70,C$5),0)*0.2</f>
        <v>0.241111111101054</v>
      </c>
      <c r="O70" s="12" t="n">
        <f aca="false">(1-N70)*M70</f>
        <v>3.51303942509493</v>
      </c>
      <c r="P70" s="0" t="s">
        <v>103</v>
      </c>
    </row>
    <row r="71" customFormat="false" ht="12.8" hidden="false" customHeight="false" outlineLevel="0" collapsed="false">
      <c r="B71" s="0" t="n">
        <f aca="false">MC346A!A66</f>
        <v>178018</v>
      </c>
      <c r="C71" s="34" t="n">
        <v>42998.6796296296</v>
      </c>
      <c r="D71" s="24" t="n">
        <v>2</v>
      </c>
      <c r="E71" s="24" t="n">
        <v>2</v>
      </c>
      <c r="F71" s="24" t="n">
        <v>1554</v>
      </c>
      <c r="G71" s="42" t="n">
        <f aca="false">F71/200-1</f>
        <v>6.77</v>
      </c>
      <c r="H71" s="42" t="n">
        <f aca="false">H$4*(G$4+G$3)/(G71+G$3)</f>
        <v>1.83755522827688</v>
      </c>
      <c r="I71" s="24" t="n">
        <f aca="false">10+10</f>
        <v>20</v>
      </c>
      <c r="J71" s="43" t="n">
        <f aca="false">I71/200</f>
        <v>0.1</v>
      </c>
      <c r="K71" s="44" t="n">
        <f aca="false">K$4*(J$3+J$4)/(J$3+J71)</f>
        <v>0.388333333333333</v>
      </c>
      <c r="L71" s="24" t="n">
        <v>2</v>
      </c>
      <c r="M71" s="45" t="n">
        <f aca="false">MIN(10,D71+E71+H71+K71+L71)</f>
        <v>8.22588856161021</v>
      </c>
      <c r="N71" s="41" t="n">
        <f aca="false">IF(C$5&lt;C71,_xlfn.DAYS(C71,C$5),0)*0.2</f>
        <v>0</v>
      </c>
      <c r="O71" s="12" t="n">
        <f aca="false">(1-N71)*M71</f>
        <v>8.22588856161021</v>
      </c>
      <c r="P71" s="0" t="s">
        <v>104</v>
      </c>
    </row>
    <row r="72" customFormat="false" ht="12.8" hidden="false" customHeight="false" outlineLevel="0" collapsed="false">
      <c r="B72" s="0" t="n">
        <f aca="false">MC346A!A67</f>
        <v>178183</v>
      </c>
      <c r="C72" s="34" t="n">
        <v>42998.6562962963</v>
      </c>
      <c r="D72" s="24" t="n">
        <v>1</v>
      </c>
      <c r="E72" s="24" t="n">
        <v>2</v>
      </c>
      <c r="F72" s="24" t="n">
        <v>1000</v>
      </c>
      <c r="G72" s="42" t="n">
        <f aca="false">F72/200-1</f>
        <v>4</v>
      </c>
      <c r="H72" s="42" t="n">
        <f aca="false">H$4*(G$4+G$3)/(G72+G$3)</f>
        <v>3.10373134328358</v>
      </c>
      <c r="I72" s="24" t="n">
        <f aca="false">633</f>
        <v>633</v>
      </c>
      <c r="J72" s="43" t="n">
        <f aca="false">I72/100</f>
        <v>6.33</v>
      </c>
      <c r="K72" s="44" t="n">
        <f aca="false">K$4*(J$3+J$4)/(J$3+J72)</f>
        <v>0.00733858267716535</v>
      </c>
      <c r="L72" s="24" t="n">
        <v>0</v>
      </c>
      <c r="M72" s="45" t="n">
        <f aca="false">MIN(10,D72+E72+H72+K72+L72)</f>
        <v>6.11106992596075</v>
      </c>
      <c r="N72" s="41" t="n">
        <f aca="false">IF(C$5&lt;C72,_xlfn.DAYS(C72,C$5),0)*0.2</f>
        <v>0</v>
      </c>
      <c r="O72" s="12" t="n">
        <f aca="false">(1-N72)*M72</f>
        <v>6.11106992596075</v>
      </c>
      <c r="P72" s="0" t="s">
        <v>105</v>
      </c>
    </row>
    <row r="73" customFormat="false" ht="12.8" hidden="false" customHeight="false" outlineLevel="0" collapsed="false">
      <c r="B73" s="0" t="n">
        <f aca="false">MC346A!A68</f>
        <v>951431</v>
      </c>
      <c r="O73" s="12"/>
    </row>
  </sheetData>
  <conditionalFormatting sqref="O7">
    <cfRule type="colorScale" priority="2">
      <colorScale>
        <cfvo type="formula" val="&lt;5"/>
        <cfvo type="formula" val="&gt;5"/>
        <color rgb="FFFF0000"/>
        <color rgb="FF0000FF"/>
      </colorScale>
    </cfRule>
  </conditionalFormatting>
  <conditionalFormatting sqref="O7">
    <cfRule type="cellIs" priority="3" operator="lessThan" aboveAverage="0" equalAverage="0" bottom="0" percent="0" rank="0" text="" dxfId="0">
      <formula>d</formula>
    </cfRule>
    <cfRule type="cellIs" priority="4" operator="greaterThanOrEqual" aboveAverage="0" equalAverage="0" bottom="0" percent="0" rank="0" text="" dxfId="1">
      <formula>5</formula>
    </cfRule>
  </conditionalFormatting>
  <conditionalFormatting sqref="O8">
    <cfRule type="colorScale" priority="5">
      <colorScale>
        <cfvo type="formula" val="&lt;5"/>
        <cfvo type="formula" val="&gt;5"/>
        <color rgb="FFFF0000"/>
        <color rgb="FF0000FF"/>
      </colorScale>
    </cfRule>
  </conditionalFormatting>
  <conditionalFormatting sqref="O8">
    <cfRule type="cellIs" priority="6" operator="lessThan" aboveAverage="0" equalAverage="0" bottom="0" percent="0" rank="0" text="" dxfId="0">
      <formula>5</formula>
    </cfRule>
    <cfRule type="cellIs" priority="7" operator="greaterThanOrEqual" aboveAverage="0" equalAverage="0" bottom="0" percent="0" rank="0" text="" dxfId="1">
      <formula>5</formula>
    </cfRule>
  </conditionalFormatting>
  <conditionalFormatting sqref="O17">
    <cfRule type="colorScale" priority="8">
      <colorScale>
        <cfvo type="formula" val="&lt;5"/>
        <cfvo type="formula" val="&gt;5"/>
        <color rgb="FFFF0000"/>
        <color rgb="FF0000FF"/>
      </colorScale>
    </cfRule>
  </conditionalFormatting>
  <conditionalFormatting sqref="O17">
    <cfRule type="cellIs" priority="9" operator="lessThan" aboveAverage="0" equalAverage="0" bottom="0" percent="0" rank="0" text="" dxfId="0">
      <formula>5</formula>
    </cfRule>
    <cfRule type="cellIs" priority="10" operator="greaterThanOrEqual" aboveAverage="0" equalAverage="0" bottom="0" percent="0" rank="0" text="" dxfId="1">
      <formula>5</formula>
    </cfRule>
  </conditionalFormatting>
  <conditionalFormatting sqref="O18">
    <cfRule type="colorScale" priority="11">
      <colorScale>
        <cfvo type="formula" val="&lt;5"/>
        <cfvo type="formula" val="&gt;5"/>
        <color rgb="FFFF0000"/>
        <color rgb="FF0000FF"/>
      </colorScale>
    </cfRule>
  </conditionalFormatting>
  <conditionalFormatting sqref="O18">
    <cfRule type="cellIs" priority="12" operator="lessThan" aboveAverage="0" equalAverage="0" bottom="0" percent="0" rank="0" text="" dxfId="0">
      <formula>5</formula>
    </cfRule>
    <cfRule type="cellIs" priority="13" operator="greaterThanOrEqual" aboveAverage="0" equalAverage="0" bottom="0" percent="0" rank="0" text="" dxfId="1">
      <formula>5</formula>
    </cfRule>
  </conditionalFormatting>
  <conditionalFormatting sqref="O19">
    <cfRule type="colorScale" priority="14">
      <colorScale>
        <cfvo type="formula" val="&lt;5"/>
        <cfvo type="formula" val="&gt;5"/>
        <color rgb="FFFF0000"/>
        <color rgb="FF0000FF"/>
      </colorScale>
    </cfRule>
  </conditionalFormatting>
  <conditionalFormatting sqref="O19">
    <cfRule type="cellIs" priority="15" operator="lessThan" aboveAverage="0" equalAverage="0" bottom="0" percent="0" rank="0" text="" dxfId="0">
      <formula>5</formula>
    </cfRule>
    <cfRule type="cellIs" priority="16" operator="greaterThanOrEqual" aboveAverage="0" equalAverage="0" bottom="0" percent="0" rank="0" text="" dxfId="1">
      <formula>5</formula>
    </cfRule>
  </conditionalFormatting>
  <conditionalFormatting sqref="O21">
    <cfRule type="colorScale" priority="17">
      <colorScale>
        <cfvo type="formula" val="&lt;5"/>
        <cfvo type="formula" val="&gt;5"/>
        <color rgb="FFFF0000"/>
        <color rgb="FF0000FF"/>
      </colorScale>
    </cfRule>
  </conditionalFormatting>
  <conditionalFormatting sqref="O21">
    <cfRule type="cellIs" priority="18" operator="lessThan" aboveAverage="0" equalAverage="0" bottom="0" percent="0" rank="0" text="" dxfId="0">
      <formula>5</formula>
    </cfRule>
    <cfRule type="cellIs" priority="19" operator="greaterThanOrEqual" aboveAverage="0" equalAverage="0" bottom="0" percent="0" rank="0" text="" dxfId="1">
      <formula>5</formula>
    </cfRule>
  </conditionalFormatting>
  <conditionalFormatting sqref="O23">
    <cfRule type="colorScale" priority="20">
      <colorScale>
        <cfvo type="formula" val="&lt;5"/>
        <cfvo type="formula" val="&gt;5"/>
        <color rgb="FFFF0000"/>
        <color rgb="FF0000FF"/>
      </colorScale>
    </cfRule>
  </conditionalFormatting>
  <conditionalFormatting sqref="O23">
    <cfRule type="cellIs" priority="21" operator="lessThan" aboveAverage="0" equalAverage="0" bottom="0" percent="0" rank="0" text="" dxfId="0">
      <formula>5</formula>
    </cfRule>
    <cfRule type="cellIs" priority="22" operator="greaterThanOrEqual" aboveAverage="0" equalAverage="0" bottom="0" percent="0" rank="0" text="" dxfId="1">
      <formula>5</formula>
    </cfRule>
  </conditionalFormatting>
  <conditionalFormatting sqref="O26">
    <cfRule type="colorScale" priority="23">
      <colorScale>
        <cfvo type="formula" val="&lt;5"/>
        <cfvo type="formula" val="&gt;5"/>
        <color rgb="FFFF0000"/>
        <color rgb="FF0000FF"/>
      </colorScale>
    </cfRule>
  </conditionalFormatting>
  <conditionalFormatting sqref="O26">
    <cfRule type="cellIs" priority="24" operator="lessThan" aboveAverage="0" equalAverage="0" bottom="0" percent="0" rank="0" text="" dxfId="0">
      <formula>5</formula>
    </cfRule>
    <cfRule type="cellIs" priority="25" operator="greaterThanOrEqual" aboveAverage="0" equalAverage="0" bottom="0" percent="0" rank="0" text="" dxfId="1">
      <formula>5</formula>
    </cfRule>
  </conditionalFormatting>
  <conditionalFormatting sqref="O28">
    <cfRule type="colorScale" priority="26">
      <colorScale>
        <cfvo type="formula" val="&lt;5"/>
        <cfvo type="formula" val="&gt;5"/>
        <color rgb="FFFF0000"/>
        <color rgb="FF0000FF"/>
      </colorScale>
    </cfRule>
  </conditionalFormatting>
  <conditionalFormatting sqref="O28">
    <cfRule type="cellIs" priority="27" operator="lessThan" aboveAverage="0" equalAverage="0" bottom="0" percent="0" rank="0" text="" dxfId="0">
      <formula>5</formula>
    </cfRule>
    <cfRule type="cellIs" priority="28" operator="greaterThanOrEqual" aboveAverage="0" equalAverage="0" bottom="0" percent="0" rank="0" text="" dxfId="1">
      <formula>5</formula>
    </cfRule>
  </conditionalFormatting>
  <conditionalFormatting sqref="O30">
    <cfRule type="colorScale" priority="29">
      <colorScale>
        <cfvo type="formula" val="&lt;5"/>
        <cfvo type="formula" val="&gt;5"/>
        <color rgb="FFFF0000"/>
        <color rgb="FF0000FF"/>
      </colorScale>
    </cfRule>
  </conditionalFormatting>
  <conditionalFormatting sqref="O30">
    <cfRule type="cellIs" priority="30" operator="lessThan" aboveAverage="0" equalAverage="0" bottom="0" percent="0" rank="0" text="" dxfId="0">
      <formula>l</formula>
    </cfRule>
    <cfRule type="cellIs" priority="31" operator="greaterThanOrEqual" aboveAverage="0" equalAverage="0" bottom="0" percent="0" rank="0" text="" dxfId="1">
      <formula>5</formula>
    </cfRule>
  </conditionalFormatting>
  <conditionalFormatting sqref="O32">
    <cfRule type="colorScale" priority="32">
      <colorScale>
        <cfvo type="formula" val="&lt;5"/>
        <cfvo type="formula" val="&gt;5"/>
        <color rgb="FFFF0000"/>
        <color rgb="FF0000FF"/>
      </colorScale>
    </cfRule>
  </conditionalFormatting>
  <conditionalFormatting sqref="O32">
    <cfRule type="cellIs" priority="33" operator="lessThan" aboveAverage="0" equalAverage="0" bottom="0" percent="0" rank="0" text="" dxfId="0">
      <formula>5</formula>
    </cfRule>
    <cfRule type="cellIs" priority="34" operator="greaterThanOrEqual" aboveAverage="0" equalAverage="0" bottom="0" percent="0" rank="0" text="" dxfId="1">
      <formula>5</formula>
    </cfRule>
  </conditionalFormatting>
  <conditionalFormatting sqref="O33">
    <cfRule type="colorScale" priority="35">
      <colorScale>
        <cfvo type="formula" val="&lt;5"/>
        <cfvo type="formula" val="&gt;5"/>
        <color rgb="FFFF0000"/>
        <color rgb="FF0000FF"/>
      </colorScale>
    </cfRule>
  </conditionalFormatting>
  <conditionalFormatting sqref="O33">
    <cfRule type="cellIs" priority="36" operator="lessThan" aboveAverage="0" equalAverage="0" bottom="0" percent="0" rank="0" text="" dxfId="0">
      <formula>5</formula>
    </cfRule>
    <cfRule type="cellIs" priority="37" operator="greaterThanOrEqual" aboveAverage="0" equalAverage="0" bottom="0" percent="0" rank="0" text="" dxfId="1">
      <formula>5</formula>
    </cfRule>
  </conditionalFormatting>
  <conditionalFormatting sqref="O39">
    <cfRule type="colorScale" priority="38">
      <colorScale>
        <cfvo type="formula" val="&lt;5"/>
        <cfvo type="formula" val="&gt;5"/>
        <color rgb="FFFF0000"/>
        <color rgb="FF0000FF"/>
      </colorScale>
    </cfRule>
  </conditionalFormatting>
  <conditionalFormatting sqref="O39">
    <cfRule type="cellIs" priority="39" operator="lessThan" aboveAverage="0" equalAverage="0" bottom="0" percent="0" rank="0" text="" dxfId="0">
      <formula>5</formula>
    </cfRule>
    <cfRule type="cellIs" priority="40" operator="greaterThanOrEqual" aboveAverage="0" equalAverage="0" bottom="0" percent="0" rank="0" text="" dxfId="1">
      <formula>5</formula>
    </cfRule>
  </conditionalFormatting>
  <conditionalFormatting sqref="O40">
    <cfRule type="colorScale" priority="41">
      <colorScale>
        <cfvo type="formula" val="&lt;5"/>
        <cfvo type="formula" val="&gt;5"/>
        <color rgb="FFFF0000"/>
        <color rgb="FF0000FF"/>
      </colorScale>
    </cfRule>
  </conditionalFormatting>
  <conditionalFormatting sqref="O40">
    <cfRule type="cellIs" priority="42" operator="lessThan" aboveAverage="0" equalAverage="0" bottom="0" percent="0" rank="0" text="" dxfId="0">
      <formula>5</formula>
    </cfRule>
    <cfRule type="cellIs" priority="43" operator="greaterThanOrEqual" aboveAverage="0" equalAverage="0" bottom="0" percent="0" rank="0" text="" dxfId="1">
      <formula>5</formula>
    </cfRule>
  </conditionalFormatting>
  <conditionalFormatting sqref="O41">
    <cfRule type="colorScale" priority="44">
      <colorScale>
        <cfvo type="formula" val="&lt;5"/>
        <cfvo type="formula" val="&gt;5"/>
        <color rgb="FFFF0000"/>
        <color rgb="FF0000FF"/>
      </colorScale>
    </cfRule>
  </conditionalFormatting>
  <conditionalFormatting sqref="O41">
    <cfRule type="cellIs" priority="45" operator="lessThan" aboveAverage="0" equalAverage="0" bottom="0" percent="0" rank="0" text="" dxfId="0">
      <formula>5</formula>
    </cfRule>
    <cfRule type="cellIs" priority="46" operator="greaterThanOrEqual" aboveAverage="0" equalAverage="0" bottom="0" percent="0" rank="0" text="" dxfId="1">
      <formula>5</formula>
    </cfRule>
  </conditionalFormatting>
  <conditionalFormatting sqref="O42">
    <cfRule type="colorScale" priority="47">
      <colorScale>
        <cfvo type="formula" val="&lt;5"/>
        <cfvo type="formula" val="&gt;5"/>
        <color rgb="FFFF0000"/>
        <color rgb="FF0000FF"/>
      </colorScale>
    </cfRule>
  </conditionalFormatting>
  <conditionalFormatting sqref="O42">
    <cfRule type="cellIs" priority="48" operator="lessThan" aboveAverage="0" equalAverage="0" bottom="0" percent="0" rank="0" text="" dxfId="0">
      <formula>5</formula>
    </cfRule>
    <cfRule type="cellIs" priority="49" operator="greaterThanOrEqual" aboveAverage="0" equalAverage="0" bottom="0" percent="0" rank="0" text="" dxfId="1">
      <formula>5</formula>
    </cfRule>
  </conditionalFormatting>
  <conditionalFormatting sqref="O43">
    <cfRule type="colorScale" priority="50">
      <colorScale>
        <cfvo type="formula" val="&lt;5"/>
        <cfvo type="formula" val="&gt;5"/>
        <color rgb="FFFF0000"/>
        <color rgb="FF0000FF"/>
      </colorScale>
    </cfRule>
  </conditionalFormatting>
  <conditionalFormatting sqref="O43">
    <cfRule type="cellIs" priority="51" operator="lessThan" aboveAverage="0" equalAverage="0" bottom="0" percent="0" rank="0" text="" dxfId="0">
      <formula>5</formula>
    </cfRule>
    <cfRule type="cellIs" priority="52" operator="greaterThanOrEqual" aboveAverage="0" equalAverage="0" bottom="0" percent="0" rank="0" text="" dxfId="1">
      <formula>5</formula>
    </cfRule>
  </conditionalFormatting>
  <conditionalFormatting sqref="O44">
    <cfRule type="colorScale" priority="53">
      <colorScale>
        <cfvo type="formula" val="&lt;5"/>
        <cfvo type="formula" val="&gt;5"/>
        <color rgb="FFFF0000"/>
        <color rgb="FF0000FF"/>
      </colorScale>
    </cfRule>
  </conditionalFormatting>
  <conditionalFormatting sqref="O44">
    <cfRule type="cellIs" priority="54" operator="lessThan" aboveAverage="0" equalAverage="0" bottom="0" percent="0" rank="0" text="" dxfId="0">
      <formula>5</formula>
    </cfRule>
    <cfRule type="cellIs" priority="55" operator="greaterThanOrEqual" aboveAverage="0" equalAverage="0" bottom="0" percent="0" rank="0" text="" dxfId="1">
      <formula>5</formula>
    </cfRule>
  </conditionalFormatting>
  <conditionalFormatting sqref="O47">
    <cfRule type="colorScale" priority="56">
      <colorScale>
        <cfvo type="formula" val="&lt;5"/>
        <cfvo type="formula" val="&gt;5"/>
        <color rgb="FFFF0000"/>
        <color rgb="FF0000FF"/>
      </colorScale>
    </cfRule>
  </conditionalFormatting>
  <conditionalFormatting sqref="O47">
    <cfRule type="cellIs" priority="57" operator="lessThan" aboveAverage="0" equalAverage="0" bottom="0" percent="0" rank="0" text="" dxfId="0">
      <formula>5</formula>
    </cfRule>
    <cfRule type="cellIs" priority="58" operator="greaterThanOrEqual" aboveAverage="0" equalAverage="0" bottom="0" percent="0" rank="0" text="" dxfId="1">
      <formula>5</formula>
    </cfRule>
  </conditionalFormatting>
  <conditionalFormatting sqref="O48">
    <cfRule type="colorScale" priority="59">
      <colorScale>
        <cfvo type="formula" val="&lt;5"/>
        <cfvo type="formula" val="&gt;5"/>
        <color rgb="FFFF0000"/>
        <color rgb="FF0000FF"/>
      </colorScale>
    </cfRule>
  </conditionalFormatting>
  <conditionalFormatting sqref="O48">
    <cfRule type="cellIs" priority="60" operator="lessThan" aboveAverage="0" equalAverage="0" bottom="0" percent="0" rank="0" text="" dxfId="0">
      <formula>5</formula>
    </cfRule>
    <cfRule type="cellIs" priority="61" operator="greaterThanOrEqual" aboveAverage="0" equalAverage="0" bottom="0" percent="0" rank="0" text="" dxfId="1">
      <formula>5</formula>
    </cfRule>
  </conditionalFormatting>
  <conditionalFormatting sqref="O51">
    <cfRule type="colorScale" priority="62">
      <colorScale>
        <cfvo type="formula" val="&lt;5"/>
        <cfvo type="formula" val="&gt;5"/>
        <color rgb="FFFF0000"/>
        <color rgb="FF0000FF"/>
      </colorScale>
    </cfRule>
  </conditionalFormatting>
  <conditionalFormatting sqref="O51">
    <cfRule type="cellIs" priority="63" operator="lessThan" aboveAverage="0" equalAverage="0" bottom="0" percent="0" rank="0" text="" dxfId="0">
      <formula>5</formula>
    </cfRule>
    <cfRule type="cellIs" priority="64" operator="greaterThanOrEqual" aboveAverage="0" equalAverage="0" bottom="0" percent="0" rank="0" text="" dxfId="1">
      <formula>5</formula>
    </cfRule>
  </conditionalFormatting>
  <conditionalFormatting sqref="O57">
    <cfRule type="colorScale" priority="65">
      <colorScale>
        <cfvo type="formula" val="&lt;5"/>
        <cfvo type="formula" val="&gt;5"/>
        <color rgb="FFFF0000"/>
        <color rgb="FF0000FF"/>
      </colorScale>
    </cfRule>
  </conditionalFormatting>
  <conditionalFormatting sqref="O57">
    <cfRule type="cellIs" priority="66" operator="lessThan" aboveAverage="0" equalAverage="0" bottom="0" percent="0" rank="0" text="" dxfId="0">
      <formula>5</formula>
    </cfRule>
    <cfRule type="cellIs" priority="67" operator="greaterThanOrEqual" aboveAverage="0" equalAverage="0" bottom="0" percent="0" rank="0" text="" dxfId="1">
      <formula>5</formula>
    </cfRule>
  </conditionalFormatting>
  <conditionalFormatting sqref="O62">
    <cfRule type="colorScale" priority="68">
      <colorScale>
        <cfvo type="formula" val="&lt;5"/>
        <cfvo type="formula" val="&gt;5"/>
        <color rgb="FFFF0000"/>
        <color rgb="FF0000FF"/>
      </colorScale>
    </cfRule>
  </conditionalFormatting>
  <conditionalFormatting sqref="O62">
    <cfRule type="cellIs" priority="69" operator="lessThan" aboveAverage="0" equalAverage="0" bottom="0" percent="0" rank="0" text="" dxfId="0">
      <formula>5</formula>
    </cfRule>
    <cfRule type="cellIs" priority="70" operator="greaterThanOrEqual" aboveAverage="0" equalAverage="0" bottom="0" percent="0" rank="0" text="" dxfId="1">
      <formula>5</formula>
    </cfRule>
  </conditionalFormatting>
  <conditionalFormatting sqref="O64">
    <cfRule type="colorScale" priority="71">
      <colorScale>
        <cfvo type="formula" val="&lt;5"/>
        <cfvo type="formula" val="&gt;5"/>
        <color rgb="FFFF0000"/>
        <color rgb="FF0000FF"/>
      </colorScale>
    </cfRule>
  </conditionalFormatting>
  <conditionalFormatting sqref="O64">
    <cfRule type="cellIs" priority="72" operator="lessThan" aboveAverage="0" equalAverage="0" bottom="0" percent="0" rank="0" text="" dxfId="0">
      <formula>5</formula>
    </cfRule>
    <cfRule type="cellIs" priority="73" operator="greaterThanOrEqual" aboveAverage="0" equalAverage="0" bottom="0" percent="0" rank="0" text="" dxfId="1">
      <formula>5</formula>
    </cfRule>
  </conditionalFormatting>
  <conditionalFormatting sqref="O66">
    <cfRule type="colorScale" priority="74">
      <colorScale>
        <cfvo type="formula" val="&lt;5"/>
        <cfvo type="formula" val="&gt;5"/>
        <color rgb="FFFF0000"/>
        <color rgb="FF0000FF"/>
      </colorScale>
    </cfRule>
  </conditionalFormatting>
  <conditionalFormatting sqref="O66">
    <cfRule type="cellIs" priority="75" operator="lessThan" aboveAverage="0" equalAverage="0" bottom="0" percent="0" rank="0" text="" dxfId="0">
      <formula>5</formula>
    </cfRule>
    <cfRule type="cellIs" priority="76" operator="greaterThanOrEqual" aboveAverage="0" equalAverage="0" bottom="0" percent="0" rank="0" text="" dxfId="1">
      <formula>5</formula>
    </cfRule>
  </conditionalFormatting>
  <conditionalFormatting sqref="O68">
    <cfRule type="colorScale" priority="77">
      <colorScale>
        <cfvo type="formula" val="&lt;5"/>
        <cfvo type="formula" val="&gt;5"/>
        <color rgb="FFFF0000"/>
        <color rgb="FF0000FF"/>
      </colorScale>
    </cfRule>
  </conditionalFormatting>
  <conditionalFormatting sqref="O68">
    <cfRule type="cellIs" priority="78" operator="lessThan" aboveAverage="0" equalAverage="0" bottom="0" percent="0" rank="0" text="" dxfId="0">
      <formula>5</formula>
    </cfRule>
    <cfRule type="cellIs" priority="79" operator="greaterThanOrEqual" aboveAverage="0" equalAverage="0" bottom="0" percent="0" rank="0" text="" dxfId="1">
      <formula>5</formula>
    </cfRule>
  </conditionalFormatting>
  <conditionalFormatting sqref="O73">
    <cfRule type="colorScale" priority="80">
      <colorScale>
        <cfvo type="formula" val="&lt;5"/>
        <cfvo type="formula" val="&gt;5"/>
        <color rgb="FFFF0000"/>
        <color rgb="FF0000FF"/>
      </colorScale>
    </cfRule>
  </conditionalFormatting>
  <conditionalFormatting sqref="O73">
    <cfRule type="cellIs" priority="81" operator="lessThan" aboveAverage="0" equalAverage="0" bottom="0" percent="0" rank="0" text="" dxfId="0">
      <formula>c</formula>
    </cfRule>
    <cfRule type="cellIs" priority="82" operator="greaterThanOrEqual" aboveAverage="0" equalAverage="0" bottom="0" percent="0" rank="0" text="" dxfId="1">
      <formula>5</formula>
    </cfRule>
  </conditionalFormatting>
  <conditionalFormatting sqref="O9">
    <cfRule type="colorScale" priority="83">
      <colorScale>
        <cfvo type="formula" val="&lt;5"/>
        <cfvo type="formula" val="&gt;5"/>
        <color rgb="FFFF0000"/>
        <color rgb="FF0000FF"/>
      </colorScale>
    </cfRule>
  </conditionalFormatting>
  <conditionalFormatting sqref="O9">
    <cfRule type="cellIs" priority="84" operator="lessThan" aboveAverage="0" equalAverage="0" bottom="0" percent="0" rank="0" text="" dxfId="0">
      <formula>5</formula>
    </cfRule>
    <cfRule type="cellIs" priority="85" operator="greaterThanOrEqual" aboveAverage="0" equalAverage="0" bottom="0" percent="0" rank="0" text="" dxfId="1">
      <formula>5</formula>
    </cfRule>
  </conditionalFormatting>
  <conditionalFormatting sqref="O12">
    <cfRule type="colorScale" priority="86">
      <colorScale>
        <cfvo type="formula" val="&lt;5"/>
        <cfvo type="formula" val="&gt;5"/>
        <color rgb="FFFF0000"/>
        <color rgb="FF0000FF"/>
      </colorScale>
    </cfRule>
  </conditionalFormatting>
  <conditionalFormatting sqref="O12">
    <cfRule type="cellIs" priority="87" operator="lessThan" aboveAverage="0" equalAverage="0" bottom="0" percent="0" rank="0" text="" dxfId="0">
      <formula>5</formula>
    </cfRule>
    <cfRule type="cellIs" priority="88" operator="greaterThanOrEqual" aboveAverage="0" equalAverage="0" bottom="0" percent="0" rank="0" text="" dxfId="1">
      <formula>5</formula>
    </cfRule>
  </conditionalFormatting>
  <conditionalFormatting sqref="O54">
    <cfRule type="colorScale" priority="89">
      <colorScale>
        <cfvo type="formula" val="&lt;5"/>
        <cfvo type="formula" val="&gt;5"/>
        <color rgb="FFFF0000"/>
        <color rgb="FF0000FF"/>
      </colorScale>
    </cfRule>
  </conditionalFormatting>
  <conditionalFormatting sqref="O54">
    <cfRule type="cellIs" priority="90" operator="lessThan" aboveAverage="0" equalAverage="0" bottom="0" percent="0" rank="0" text="" dxfId="0">
      <formula>5</formula>
    </cfRule>
    <cfRule type="cellIs" priority="91" operator="greaterThanOrEqual" aboveAverage="0" equalAverage="0" bottom="0" percent="0" rank="0" text="" dxfId="1">
      <formula>5</formula>
    </cfRule>
  </conditionalFormatting>
  <conditionalFormatting sqref="O65">
    <cfRule type="colorScale" priority="92">
      <colorScale>
        <cfvo type="formula" val="&lt;5"/>
        <cfvo type="formula" val="&gt;5"/>
        <color rgb="FFFF0000"/>
        <color rgb="FF0000FF"/>
      </colorScale>
    </cfRule>
  </conditionalFormatting>
  <conditionalFormatting sqref="O65">
    <cfRule type="cellIs" priority="93" operator="lessThan" aboveAverage="0" equalAverage="0" bottom="0" percent="0" rank="0" text="" dxfId="0">
      <formula>5</formula>
    </cfRule>
    <cfRule type="cellIs" priority="94" operator="greaterThanOrEqual" aboveAverage="0" equalAverage="0" bottom="0" percent="0" rank="0" text="" dxfId="1">
      <formula>5</formula>
    </cfRule>
  </conditionalFormatting>
  <conditionalFormatting sqref="O10">
    <cfRule type="colorScale" priority="95">
      <colorScale>
        <cfvo type="formula" val="&lt;5"/>
        <cfvo type="formula" val="&gt;5"/>
        <color rgb="FFFF0000"/>
        <color rgb="FF0000FF"/>
      </colorScale>
    </cfRule>
  </conditionalFormatting>
  <conditionalFormatting sqref="O10">
    <cfRule type="cellIs" priority="96" operator="lessThan" aboveAverage="0" equalAverage="0" bottom="0" percent="0" rank="0" text="" dxfId="0">
      <formula>5</formula>
    </cfRule>
    <cfRule type="cellIs" priority="97" operator="greaterThanOrEqual" aboveAverage="0" equalAverage="0" bottom="0" percent="0" rank="0" text="" dxfId="1">
      <formula>5</formula>
    </cfRule>
  </conditionalFormatting>
  <conditionalFormatting sqref="O36">
    <cfRule type="colorScale" priority="98">
      <colorScale>
        <cfvo type="formula" val="&lt;5"/>
        <cfvo type="formula" val="&gt;5"/>
        <color rgb="FFFF0000"/>
        <color rgb="FF0000FF"/>
      </colorScale>
    </cfRule>
  </conditionalFormatting>
  <conditionalFormatting sqref="O36">
    <cfRule type="cellIs" priority="99" operator="lessThan" aboveAverage="0" equalAverage="0" bottom="0" percent="0" rank="0" text="" dxfId="0">
      <formula>5</formula>
    </cfRule>
    <cfRule type="cellIs" priority="100" operator="greaterThanOrEqual" aboveAverage="0" equalAverage="0" bottom="0" percent="0" rank="0" text="" dxfId="1">
      <formula>5</formula>
    </cfRule>
  </conditionalFormatting>
  <conditionalFormatting sqref="O61">
    <cfRule type="colorScale" priority="101">
      <colorScale>
        <cfvo type="formula" val="&lt;5"/>
        <cfvo type="formula" val="&gt;5"/>
        <color rgb="FFFF0000"/>
        <color rgb="FF0000FF"/>
      </colorScale>
    </cfRule>
  </conditionalFormatting>
  <conditionalFormatting sqref="O61">
    <cfRule type="cellIs" priority="102" operator="lessThan" aboveAverage="0" equalAverage="0" bottom="0" percent="0" rank="0" text="" dxfId="0">
      <formula>5</formula>
    </cfRule>
    <cfRule type="cellIs" priority="103" operator="greaterThanOrEqual" aboveAverage="0" equalAverage="0" bottom="0" percent="0" rank="0" text="" dxfId="1">
      <formula>5</formula>
    </cfRule>
  </conditionalFormatting>
  <conditionalFormatting sqref="O69">
    <cfRule type="colorScale" priority="104">
      <colorScale>
        <cfvo type="formula" val="&lt;5"/>
        <cfvo type="formula" val="&gt;5"/>
        <color rgb="FFFF0000"/>
        <color rgb="FF0000FF"/>
      </colorScale>
    </cfRule>
  </conditionalFormatting>
  <conditionalFormatting sqref="O69">
    <cfRule type="cellIs" priority="105" operator="lessThan" aboveAverage="0" equalAverage="0" bottom="0" percent="0" rank="0" text="" dxfId="0">
      <formula>5</formula>
    </cfRule>
    <cfRule type="cellIs" priority="106" operator="greaterThanOrEqual" aboveAverage="0" equalAverage="0" bottom="0" percent="0" rank="0" text="" dxfId="1">
      <formula>5</formula>
    </cfRule>
  </conditionalFormatting>
  <conditionalFormatting sqref="O55">
    <cfRule type="colorScale" priority="107">
      <colorScale>
        <cfvo type="formula" val="&lt;5"/>
        <cfvo type="formula" val="&gt;5"/>
        <color rgb="FFFF0000"/>
        <color rgb="FF0000FF"/>
      </colorScale>
    </cfRule>
  </conditionalFormatting>
  <conditionalFormatting sqref="O55">
    <cfRule type="cellIs" priority="108" operator="lessThan" aboveAverage="0" equalAverage="0" bottom="0" percent="0" rank="0" text="" dxfId="0">
      <formula>5</formula>
    </cfRule>
    <cfRule type="cellIs" priority="109" operator="greaterThanOrEqual" aboveAverage="0" equalAverage="0" bottom="0" percent="0" rank="0" text="" dxfId="1">
      <formula>5</formula>
    </cfRule>
  </conditionalFormatting>
  <conditionalFormatting sqref="O25">
    <cfRule type="colorScale" priority="110">
      <colorScale>
        <cfvo type="formula" val="&lt;5"/>
        <cfvo type="formula" val="&gt;5"/>
        <color rgb="FFFF0000"/>
        <color rgb="FF0000FF"/>
      </colorScale>
    </cfRule>
  </conditionalFormatting>
  <conditionalFormatting sqref="O25">
    <cfRule type="cellIs" priority="111" operator="lessThan" aboveAverage="0" equalAverage="0" bottom="0" percent="0" rank="0" text="" dxfId="0">
      <formula>a</formula>
    </cfRule>
    <cfRule type="cellIs" priority="112" operator="greaterThanOrEqual" aboveAverage="0" equalAverage="0" bottom="0" percent="0" rank="0" text="" dxfId="1">
      <formula>5</formula>
    </cfRule>
  </conditionalFormatting>
  <conditionalFormatting sqref="O13">
    <cfRule type="colorScale" priority="113">
      <colorScale>
        <cfvo type="formula" val="&lt;5"/>
        <cfvo type="formula" val="&gt;5"/>
        <color rgb="FFFF0000"/>
        <color rgb="FF0000FF"/>
      </colorScale>
    </cfRule>
  </conditionalFormatting>
  <conditionalFormatting sqref="O13">
    <cfRule type="cellIs" priority="114" operator="lessThan" aboveAverage="0" equalAverage="0" bottom="0" percent="0" rank="0" text="" dxfId="0">
      <formula>5</formula>
    </cfRule>
    <cfRule type="cellIs" priority="115" operator="greaterThanOrEqual" aboveAverage="0" equalAverage="0" bottom="0" percent="0" rank="0" text="" dxfId="1">
      <formula>5</formula>
    </cfRule>
  </conditionalFormatting>
  <conditionalFormatting sqref="O11">
    <cfRule type="colorScale" priority="116">
      <colorScale>
        <cfvo type="formula" val="&lt;5"/>
        <cfvo type="formula" val="&gt;5"/>
        <color rgb="FFFF0000"/>
        <color rgb="FF0000FF"/>
      </colorScale>
    </cfRule>
  </conditionalFormatting>
  <conditionalFormatting sqref="O11">
    <cfRule type="cellIs" priority="117" operator="lessThan" aboveAverage="0" equalAverage="0" bottom="0" percent="0" rank="0" text="" dxfId="0">
      <formula>5</formula>
    </cfRule>
    <cfRule type="cellIs" priority="118" operator="greaterThanOrEqual" aboveAverage="0" equalAverage="0" bottom="0" percent="0" rank="0" text="" dxfId="1">
      <formula>5</formula>
    </cfRule>
  </conditionalFormatting>
  <conditionalFormatting sqref="O38">
    <cfRule type="colorScale" priority="119">
      <colorScale>
        <cfvo type="formula" val="&lt;5"/>
        <cfvo type="formula" val="&gt;5"/>
        <color rgb="FFFF0000"/>
        <color rgb="FF0000FF"/>
      </colorScale>
    </cfRule>
  </conditionalFormatting>
  <conditionalFormatting sqref="O38">
    <cfRule type="cellIs" priority="120" operator="lessThan" aboveAverage="0" equalAverage="0" bottom="0" percent="0" rank="0" text="" dxfId="0">
      <formula>5</formula>
    </cfRule>
    <cfRule type="cellIs" priority="121" operator="greaterThanOrEqual" aboveAverage="0" equalAverage="0" bottom="0" percent="0" rank="0" text="" dxfId="1">
      <formula>5</formula>
    </cfRule>
  </conditionalFormatting>
  <conditionalFormatting sqref="O72">
    <cfRule type="colorScale" priority="122">
      <colorScale>
        <cfvo type="formula" val="&lt;5"/>
        <cfvo type="formula" val="&gt;5"/>
        <color rgb="FFFF0000"/>
        <color rgb="FF0000FF"/>
      </colorScale>
    </cfRule>
  </conditionalFormatting>
  <conditionalFormatting sqref="O72">
    <cfRule type="cellIs" priority="123" operator="lessThan" aboveAverage="0" equalAverage="0" bottom="0" percent="0" rank="0" text="" dxfId="0">
      <formula>5</formula>
    </cfRule>
    <cfRule type="cellIs" priority="124" operator="greaterThanOrEqual" aboveAverage="0" equalAverage="0" bottom="0" percent="0" rank="0" text="" dxfId="1">
      <formula>5</formula>
    </cfRule>
  </conditionalFormatting>
  <conditionalFormatting sqref="O71">
    <cfRule type="colorScale" priority="125">
      <colorScale>
        <cfvo type="formula" val="&lt;5"/>
        <cfvo type="formula" val="&gt;5"/>
        <color rgb="FFFF0000"/>
        <color rgb="FF0000FF"/>
      </colorScale>
    </cfRule>
  </conditionalFormatting>
  <conditionalFormatting sqref="O71">
    <cfRule type="cellIs" priority="126" operator="lessThan" aboveAverage="0" equalAverage="0" bottom="0" percent="0" rank="0" text="" dxfId="0">
      <formula>5</formula>
    </cfRule>
    <cfRule type="cellIs" priority="127" operator="greaterThanOrEqual" aboveAverage="0" equalAverage="0" bottom="0" percent="0" rank="0" text="" dxfId="1">
      <formula>5</formula>
    </cfRule>
  </conditionalFormatting>
  <conditionalFormatting sqref="O24">
    <cfRule type="colorScale" priority="128">
      <colorScale>
        <cfvo type="formula" val="&lt;5"/>
        <cfvo type="formula" val="&gt;5"/>
        <color rgb="FFFF0000"/>
        <color rgb="FF0000FF"/>
      </colorScale>
    </cfRule>
  </conditionalFormatting>
  <conditionalFormatting sqref="O24">
    <cfRule type="cellIs" priority="129" operator="lessThan" aboveAverage="0" equalAverage="0" bottom="0" percent="0" rank="0" text="" dxfId="0">
      <formula>5</formula>
    </cfRule>
    <cfRule type="cellIs" priority="130" operator="greaterThanOrEqual" aboveAverage="0" equalAverage="0" bottom="0" percent="0" rank="0" text="" dxfId="1">
      <formula>5</formula>
    </cfRule>
  </conditionalFormatting>
  <conditionalFormatting sqref="O14">
    <cfRule type="colorScale" priority="131">
      <colorScale>
        <cfvo type="formula" val="&lt;5"/>
        <cfvo type="formula" val="&gt;5"/>
        <color rgb="FFFF0000"/>
        <color rgb="FF0000FF"/>
      </colorScale>
    </cfRule>
  </conditionalFormatting>
  <conditionalFormatting sqref="O14">
    <cfRule type="cellIs" priority="132" operator="lessThan" aboveAverage="0" equalAverage="0" bottom="0" percent="0" rank="0" text="" dxfId="0">
      <formula>5</formula>
    </cfRule>
    <cfRule type="cellIs" priority="133" operator="greaterThanOrEqual" aboveAverage="0" equalAverage="0" bottom="0" percent="0" rank="0" text="" dxfId="1">
      <formula>5</formula>
    </cfRule>
  </conditionalFormatting>
  <conditionalFormatting sqref="O16">
    <cfRule type="colorScale" priority="134">
      <colorScale>
        <cfvo type="formula" val="&lt;5"/>
        <cfvo type="formula" val="&gt;5"/>
        <color rgb="FFFF0000"/>
        <color rgb="FF0000FF"/>
      </colorScale>
    </cfRule>
  </conditionalFormatting>
  <conditionalFormatting sqref="O16">
    <cfRule type="cellIs" priority="135" operator="lessThan" aboveAverage="0" equalAverage="0" bottom="0" percent="0" rank="0" text="" dxfId="0">
      <formula>5</formula>
    </cfRule>
    <cfRule type="cellIs" priority="136" operator="greaterThanOrEqual" aboveAverage="0" equalAverage="0" bottom="0" percent="0" rank="0" text="" dxfId="1">
      <formula>5</formula>
    </cfRule>
  </conditionalFormatting>
  <conditionalFormatting sqref="O27">
    <cfRule type="colorScale" priority="137">
      <colorScale>
        <cfvo type="formula" val="&lt;5"/>
        <cfvo type="formula" val="&gt;5"/>
        <color rgb="FFFF0000"/>
        <color rgb="FF0000FF"/>
      </colorScale>
    </cfRule>
  </conditionalFormatting>
  <conditionalFormatting sqref="O27">
    <cfRule type="cellIs" priority="138" operator="lessThan" aboveAverage="0" equalAverage="0" bottom="0" percent="0" rank="0" text="" dxfId="0">
      <formula>5</formula>
    </cfRule>
    <cfRule type="cellIs" priority="139" operator="greaterThanOrEqual" aboveAverage="0" equalAverage="0" bottom="0" percent="0" rank="0" text="" dxfId="1">
      <formula>5</formula>
    </cfRule>
  </conditionalFormatting>
  <conditionalFormatting sqref="O35">
    <cfRule type="colorScale" priority="140">
      <colorScale>
        <cfvo type="formula" val="&lt;5"/>
        <cfvo type="formula" val="&gt;5"/>
        <color rgb="FFFF0000"/>
        <color rgb="FF0000FF"/>
      </colorScale>
    </cfRule>
  </conditionalFormatting>
  <conditionalFormatting sqref="O35">
    <cfRule type="cellIs" priority="141" operator="lessThan" aboveAverage="0" equalAverage="0" bottom="0" percent="0" rank="0" text="" dxfId="0">
      <formula>5</formula>
    </cfRule>
    <cfRule type="cellIs" priority="142" operator="greaterThanOrEqual" aboveAverage="0" equalAverage="0" bottom="0" percent="0" rank="0" text="" dxfId="1">
      <formula>5</formula>
    </cfRule>
  </conditionalFormatting>
  <conditionalFormatting sqref="O29">
    <cfRule type="colorScale" priority="143">
      <colorScale>
        <cfvo type="formula" val="&lt;5"/>
        <cfvo type="formula" val="&gt;5"/>
        <color rgb="FFFF0000"/>
        <color rgb="FF0000FF"/>
      </colorScale>
    </cfRule>
  </conditionalFormatting>
  <conditionalFormatting sqref="O29">
    <cfRule type="cellIs" priority="144" operator="lessThan" aboveAverage="0" equalAverage="0" bottom="0" percent="0" rank="0" text="" dxfId="0">
      <formula>5</formula>
    </cfRule>
    <cfRule type="cellIs" priority="145" operator="greaterThanOrEqual" aboveAverage="0" equalAverage="0" bottom="0" percent="0" rank="0" text="" dxfId="1">
      <formula>5</formula>
    </cfRule>
  </conditionalFormatting>
  <conditionalFormatting sqref="O53">
    <cfRule type="colorScale" priority="146">
      <colorScale>
        <cfvo type="formula" val="&lt;5"/>
        <cfvo type="formula" val="&gt;5"/>
        <color rgb="FFFF0000"/>
        <color rgb="FF0000FF"/>
      </colorScale>
    </cfRule>
  </conditionalFormatting>
  <conditionalFormatting sqref="O53">
    <cfRule type="cellIs" priority="147" operator="lessThan" aboveAverage="0" equalAverage="0" bottom="0" percent="0" rank="0" text="" dxfId="0">
      <formula>5</formula>
    </cfRule>
    <cfRule type="cellIs" priority="148" operator="greaterThanOrEqual" aboveAverage="0" equalAverage="0" bottom="0" percent="0" rank="0" text="" dxfId="1">
      <formula>5</formula>
    </cfRule>
  </conditionalFormatting>
  <conditionalFormatting sqref="O20">
    <cfRule type="colorScale" priority="149">
      <colorScale>
        <cfvo type="formula" val="&lt;5"/>
        <cfvo type="formula" val="&gt;5"/>
        <color rgb="FFFF0000"/>
        <color rgb="FF0000FF"/>
      </colorScale>
    </cfRule>
  </conditionalFormatting>
  <conditionalFormatting sqref="O20">
    <cfRule type="cellIs" priority="150" operator="lessThan" aboveAverage="0" equalAverage="0" bottom="0" percent="0" rank="0" text="" dxfId="0">
      <formula>5</formula>
    </cfRule>
    <cfRule type="cellIs" priority="151" operator="greaterThanOrEqual" aboveAverage="0" equalAverage="0" bottom="0" percent="0" rank="0" text="" dxfId="1">
      <formula>5</formula>
    </cfRule>
  </conditionalFormatting>
  <conditionalFormatting sqref="O63">
    <cfRule type="colorScale" priority="152">
      <colorScale>
        <cfvo type="formula" val="&lt;5"/>
        <cfvo type="formula" val="&gt;5"/>
        <color rgb="FFFF0000"/>
        <color rgb="FF0000FF"/>
      </colorScale>
    </cfRule>
  </conditionalFormatting>
  <conditionalFormatting sqref="O63">
    <cfRule type="cellIs" priority="153" operator="lessThan" aboveAverage="0" equalAverage="0" bottom="0" percent="0" rank="0" text="" dxfId="0">
      <formula>5</formula>
    </cfRule>
    <cfRule type="cellIs" priority="154" operator="greaterThanOrEqual" aboveAverage="0" equalAverage="0" bottom="0" percent="0" rank="0" text="" dxfId="1">
      <formula>5</formula>
    </cfRule>
  </conditionalFormatting>
  <conditionalFormatting sqref="O52">
    <cfRule type="colorScale" priority="155">
      <colorScale>
        <cfvo type="formula" val="&lt;5"/>
        <cfvo type="formula" val="&gt;5"/>
        <color rgb="FFFF0000"/>
        <color rgb="FF0000FF"/>
      </colorScale>
    </cfRule>
  </conditionalFormatting>
  <conditionalFormatting sqref="O52">
    <cfRule type="cellIs" priority="156" operator="lessThan" aboveAverage="0" equalAverage="0" bottom="0" percent="0" rank="0" text="" dxfId="0">
      <formula>5</formula>
    </cfRule>
    <cfRule type="cellIs" priority="157" operator="greaterThanOrEqual" aboveAverage="0" equalAverage="0" bottom="0" percent="0" rank="0" text="" dxfId="1">
      <formula>5</formula>
    </cfRule>
  </conditionalFormatting>
  <conditionalFormatting sqref="O50">
    <cfRule type="colorScale" priority="158">
      <colorScale>
        <cfvo type="formula" val="&lt;5"/>
        <cfvo type="formula" val="&gt;5"/>
        <color rgb="FFFF0000"/>
        <color rgb="FF0000FF"/>
      </colorScale>
    </cfRule>
  </conditionalFormatting>
  <conditionalFormatting sqref="O50">
    <cfRule type="cellIs" priority="159" operator="lessThan" aboveAverage="0" equalAverage="0" bottom="0" percent="0" rank="0" text="" dxfId="0">
      <formula>5</formula>
    </cfRule>
    <cfRule type="cellIs" priority="160" operator="greaterThanOrEqual" aboveAverage="0" equalAverage="0" bottom="0" percent="0" rank="0" text="" dxfId="1">
      <formula>5</formula>
    </cfRule>
  </conditionalFormatting>
  <conditionalFormatting sqref="O67">
    <cfRule type="colorScale" priority="161">
      <colorScale>
        <cfvo type="formula" val="&lt;5"/>
        <cfvo type="formula" val="&gt;5"/>
        <color rgb="FFFF0000"/>
        <color rgb="FF0000FF"/>
      </colorScale>
    </cfRule>
  </conditionalFormatting>
  <conditionalFormatting sqref="O67">
    <cfRule type="cellIs" priority="162" operator="lessThan" aboveAverage="0" equalAverage="0" bottom="0" percent="0" rank="0" text="" dxfId="0">
      <formula>5</formula>
    </cfRule>
    <cfRule type="cellIs" priority="163" operator="greaterThanOrEqual" aboveAverage="0" equalAverage="0" bottom="0" percent="0" rank="0" text="" dxfId="1">
      <formula>5</formula>
    </cfRule>
  </conditionalFormatting>
  <conditionalFormatting sqref="O45">
    <cfRule type="colorScale" priority="164">
      <colorScale>
        <cfvo type="formula" val="&lt;5"/>
        <cfvo type="formula" val="&gt;5"/>
        <color rgb="FFFF0000"/>
        <color rgb="FF0000FF"/>
      </colorScale>
    </cfRule>
  </conditionalFormatting>
  <conditionalFormatting sqref="O45">
    <cfRule type="cellIs" priority="165" operator="lessThan" aboveAverage="0" equalAverage="0" bottom="0" percent="0" rank="0" text="" dxfId="0">
      <formula>5</formula>
    </cfRule>
    <cfRule type="cellIs" priority="166" operator="greaterThanOrEqual" aboveAverage="0" equalAverage="0" bottom="0" percent="0" rank="0" text="" dxfId="1">
      <formula>5</formula>
    </cfRule>
  </conditionalFormatting>
  <conditionalFormatting sqref="O49">
    <cfRule type="colorScale" priority="167">
      <colorScale>
        <cfvo type="formula" val="&lt;5"/>
        <cfvo type="formula" val="&gt;5"/>
        <color rgb="FFFF0000"/>
        <color rgb="FF0000FF"/>
      </colorScale>
    </cfRule>
  </conditionalFormatting>
  <conditionalFormatting sqref="O49">
    <cfRule type="cellIs" priority="168" operator="lessThan" aboveAverage="0" equalAverage="0" bottom="0" percent="0" rank="0" text="" dxfId="0">
      <formula>5</formula>
    </cfRule>
    <cfRule type="cellIs" priority="169" operator="greaterThanOrEqual" aboveAverage="0" equalAverage="0" bottom="0" percent="0" rank="0" text="" dxfId="1">
      <formula>5</formula>
    </cfRule>
  </conditionalFormatting>
  <conditionalFormatting sqref="O46">
    <cfRule type="colorScale" priority="170">
      <colorScale>
        <cfvo type="formula" val="&lt;5"/>
        <cfvo type="formula" val="&gt;5"/>
        <color rgb="FFFF0000"/>
        <color rgb="FF0000FF"/>
      </colorScale>
    </cfRule>
  </conditionalFormatting>
  <conditionalFormatting sqref="O46">
    <cfRule type="cellIs" priority="171" operator="lessThan" aboveAverage="0" equalAverage="0" bottom="0" percent="0" rank="0" text="" dxfId="0">
      <formula>5</formula>
    </cfRule>
    <cfRule type="cellIs" priority="172" operator="greaterThanOrEqual" aboveAverage="0" equalAverage="0" bottom="0" percent="0" rank="0" text="" dxfId="1">
      <formula>5</formula>
    </cfRule>
  </conditionalFormatting>
  <conditionalFormatting sqref="O22">
    <cfRule type="colorScale" priority="173">
      <colorScale>
        <cfvo type="formula" val="&lt;5"/>
        <cfvo type="formula" val="&gt;5"/>
        <color rgb="FFFF0000"/>
        <color rgb="FF0000FF"/>
      </colorScale>
    </cfRule>
  </conditionalFormatting>
  <conditionalFormatting sqref="O22">
    <cfRule type="cellIs" priority="174" operator="lessThan" aboveAverage="0" equalAverage="0" bottom="0" percent="0" rank="0" text="" dxfId="0">
      <formula>5</formula>
    </cfRule>
    <cfRule type="cellIs" priority="175" operator="greaterThanOrEqual" aboveAverage="0" equalAverage="0" bottom="0" percent="0" rank="0" text="" dxfId="1">
      <formula>5</formula>
    </cfRule>
  </conditionalFormatting>
  <conditionalFormatting sqref="O56">
    <cfRule type="colorScale" priority="176">
      <colorScale>
        <cfvo type="formula" val="&lt;5"/>
        <cfvo type="formula" val="&gt;5"/>
        <color rgb="FFFF0000"/>
        <color rgb="FF0000FF"/>
      </colorScale>
    </cfRule>
  </conditionalFormatting>
  <conditionalFormatting sqref="O56">
    <cfRule type="cellIs" priority="177" operator="lessThan" aboveAverage="0" equalAverage="0" bottom="0" percent="0" rank="0" text="" dxfId="0">
      <formula>5</formula>
    </cfRule>
    <cfRule type="cellIs" priority="178" operator="greaterThanOrEqual" aboveAverage="0" equalAverage="0" bottom="0" percent="0" rank="0" text="" dxfId="1">
      <formula>5</formula>
    </cfRule>
  </conditionalFormatting>
  <conditionalFormatting sqref="O15">
    <cfRule type="colorScale" priority="179">
      <colorScale>
        <cfvo type="formula" val="&lt;5"/>
        <cfvo type="formula" val="&gt;5"/>
        <color rgb="FFFF0000"/>
        <color rgb="FF0000FF"/>
      </colorScale>
    </cfRule>
  </conditionalFormatting>
  <conditionalFormatting sqref="O15">
    <cfRule type="cellIs" priority="180" operator="lessThan" aboveAverage="0" equalAverage="0" bottom="0" percent="0" rank="0" text="" dxfId="0">
      <formula>5</formula>
    </cfRule>
    <cfRule type="cellIs" priority="181" operator="greaterThanOrEqual" aboveAverage="0" equalAverage="0" bottom="0" percent="0" rank="0" text="" dxfId="1">
      <formula>5</formula>
    </cfRule>
  </conditionalFormatting>
  <conditionalFormatting sqref="O37">
    <cfRule type="colorScale" priority="182">
      <colorScale>
        <cfvo type="formula" val="&lt;5"/>
        <cfvo type="formula" val="&gt;5"/>
        <color rgb="FFFF0000"/>
        <color rgb="FF0000FF"/>
      </colorScale>
    </cfRule>
  </conditionalFormatting>
  <conditionalFormatting sqref="O37">
    <cfRule type="cellIs" priority="183" operator="lessThan" aboveAverage="0" equalAverage="0" bottom="0" percent="0" rank="0" text="" dxfId="0">
      <formula>5</formula>
    </cfRule>
    <cfRule type="cellIs" priority="184" operator="greaterThanOrEqual" aboveAverage="0" equalAverage="0" bottom="0" percent="0" rank="0" text="" dxfId="1">
      <formula>5</formula>
    </cfRule>
  </conditionalFormatting>
  <conditionalFormatting sqref="O59">
    <cfRule type="colorScale" priority="185">
      <colorScale>
        <cfvo type="formula" val="&lt;5"/>
        <cfvo type="formula" val="&gt;5"/>
        <color rgb="FFFF0000"/>
        <color rgb="FF0000FF"/>
      </colorScale>
    </cfRule>
  </conditionalFormatting>
  <conditionalFormatting sqref="O59">
    <cfRule type="cellIs" priority="186" operator="lessThan" aboveAverage="0" equalAverage="0" bottom="0" percent="0" rank="0" text="" dxfId="0">
      <formula>5</formula>
    </cfRule>
    <cfRule type="cellIs" priority="187" operator="greaterThanOrEqual" aboveAverage="0" equalAverage="0" bottom="0" percent="0" rank="0" text="" dxfId="1">
      <formula>5</formula>
    </cfRule>
  </conditionalFormatting>
  <conditionalFormatting sqref="O58">
    <cfRule type="colorScale" priority="188">
      <colorScale>
        <cfvo type="formula" val="&lt;5"/>
        <cfvo type="formula" val="&gt;5"/>
        <color rgb="FFFF0000"/>
        <color rgb="FF0000FF"/>
      </colorScale>
    </cfRule>
  </conditionalFormatting>
  <conditionalFormatting sqref="O58">
    <cfRule type="cellIs" priority="189" operator="lessThan" aboveAverage="0" equalAverage="0" bottom="0" percent="0" rank="0" text="" dxfId="0">
      <formula>5</formula>
    </cfRule>
    <cfRule type="cellIs" priority="190" operator="greaterThanOrEqual" aboveAverage="0" equalAverage="0" bottom="0" percent="0" rank="0" text="" dxfId="1">
      <formula>5</formula>
    </cfRule>
  </conditionalFormatting>
  <conditionalFormatting sqref="O60">
    <cfRule type="colorScale" priority="191">
      <colorScale>
        <cfvo type="formula" val="&lt;5"/>
        <cfvo type="formula" val="&gt;5"/>
        <color rgb="FFFF0000"/>
        <color rgb="FF0000FF"/>
      </colorScale>
    </cfRule>
  </conditionalFormatting>
  <conditionalFormatting sqref="O60">
    <cfRule type="cellIs" priority="192" operator="lessThan" aboveAverage="0" equalAverage="0" bottom="0" percent="0" rank="0" text="" dxfId="0">
      <formula>5</formula>
    </cfRule>
    <cfRule type="cellIs" priority="193" operator="greaterThanOrEqual" aboveAverage="0" equalAverage="0" bottom="0" percent="0" rank="0" text="" dxfId="1">
      <formula>5</formula>
    </cfRule>
  </conditionalFormatting>
  <conditionalFormatting sqref="O31">
    <cfRule type="colorScale" priority="194">
      <colorScale>
        <cfvo type="formula" val="&lt;5"/>
        <cfvo type="formula" val="&gt;5"/>
        <color rgb="FFFF0000"/>
        <color rgb="FF0000FF"/>
      </colorScale>
    </cfRule>
  </conditionalFormatting>
  <conditionalFormatting sqref="O31">
    <cfRule type="cellIs" priority="195" operator="lessThan" aboveAverage="0" equalAverage="0" bottom="0" percent="0" rank="0" text="" dxfId="0">
      <formula>5</formula>
    </cfRule>
    <cfRule type="cellIs" priority="196" operator="greaterThanOrEqual" aboveAverage="0" equalAverage="0" bottom="0" percent="0" rank="0" text="" dxfId="1">
      <formula>5</formula>
    </cfRule>
  </conditionalFormatting>
  <conditionalFormatting sqref="O70">
    <cfRule type="colorScale" priority="197">
      <colorScale>
        <cfvo type="formula" val="&lt;5"/>
        <cfvo type="formula" val="&gt;5"/>
        <color rgb="FFFF0000"/>
        <color rgb="FF0000FF"/>
      </colorScale>
    </cfRule>
  </conditionalFormatting>
  <conditionalFormatting sqref="O70">
    <cfRule type="cellIs" priority="198" operator="lessThan" aboveAverage="0" equalAverage="0" bottom="0" percent="0" rank="0" text="" dxfId="0">
      <formula>5</formula>
    </cfRule>
    <cfRule type="cellIs" priority="199" operator="greaterThanOrEqual" aboveAverage="0" equalAverage="0" bottom="0" percent="0" rank="0" text="" dxfId="1">
      <formula>5</formula>
    </cfRule>
  </conditionalFormatting>
  <conditionalFormatting sqref="O34">
    <cfRule type="colorScale" priority="200">
      <colorScale>
        <cfvo type="formula" val="&lt;5"/>
        <cfvo type="formula" val="&gt;5"/>
        <color rgb="FFFF0000"/>
        <color rgb="FF0000FF"/>
      </colorScale>
    </cfRule>
  </conditionalFormatting>
  <conditionalFormatting sqref="O34">
    <cfRule type="cellIs" priority="201" operator="lessThan" aboveAverage="0" equalAverage="0" bottom="0" percent="0" rank="0" text="" dxfId="0">
      <formula>5</formula>
    </cfRule>
    <cfRule type="cellIs" priority="202" operator="greaterThanOrEqual" aboveAverage="0" equalAverage="0" bottom="0" percent="0" rank="0" text="" dxfId="1">
      <formula>l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Q73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P20" activeCellId="0" sqref="P20"/>
    </sheetView>
  </sheetViews>
  <sheetFormatPr defaultRowHeight="12.8" zeroHeight="false" outlineLevelRow="0" outlineLevelCol="0"/>
  <cols>
    <col collapsed="false" customWidth="true" hidden="false" outlineLevel="0" max="1" min="1" style="0" width="8.52"/>
    <col collapsed="false" customWidth="true" hidden="false" outlineLevel="0" max="2" min="2" style="0" width="9.59"/>
    <col collapsed="false" customWidth="true" hidden="false" outlineLevel="0" max="3" min="3" style="0" width="17.28"/>
    <col collapsed="false" customWidth="true" hidden="false" outlineLevel="0" max="5" min="4" style="0" width="8.52"/>
    <col collapsed="false" customWidth="true" hidden="false" outlineLevel="0" max="6" min="6" style="47" width="8.52"/>
    <col collapsed="false" customWidth="true" hidden="false" outlineLevel="0" max="12" min="7" style="0" width="8.52"/>
    <col collapsed="false" customWidth="true" hidden="false" outlineLevel="0" max="13" min="13" style="48" width="8.52"/>
    <col collapsed="false" customWidth="true" hidden="false" outlineLevel="0" max="258" min="14" style="0" width="8.52"/>
    <col collapsed="false" customWidth="true" hidden="false" outlineLevel="0" max="1025" min="259" style="0" width="8.37"/>
  </cols>
  <sheetData>
    <row r="3" customFormat="false" ht="12.8" hidden="false" customHeight="false" outlineLevel="0" collapsed="false">
      <c r="C3" s="24"/>
      <c r="D3" s="24"/>
      <c r="E3" s="24"/>
      <c r="F3" s="49"/>
      <c r="G3" s="24"/>
      <c r="H3" s="24" t="n">
        <v>0.02</v>
      </c>
      <c r="I3" s="24"/>
      <c r="J3" s="24"/>
      <c r="K3" s="24" t="n">
        <v>0.02</v>
      </c>
      <c r="L3" s="24"/>
      <c r="N3" s="24"/>
      <c r="O3" s="24"/>
      <c r="P3" s="24"/>
    </row>
    <row r="4" customFormat="false" ht="16.15" hidden="false" customHeight="false" outlineLevel="0" collapsed="false">
      <c r="B4" s="30" t="s">
        <v>106</v>
      </c>
      <c r="C4" s="31"/>
      <c r="D4" s="31"/>
      <c r="E4" s="31"/>
      <c r="F4" s="32"/>
      <c r="G4" s="32"/>
      <c r="H4" s="33" t="n">
        <v>4.15</v>
      </c>
      <c r="I4" s="24" t="n">
        <v>3</v>
      </c>
      <c r="J4" s="24"/>
      <c r="K4" s="33" t="n">
        <v>0.0105</v>
      </c>
      <c r="L4" s="24" t="n">
        <v>1</v>
      </c>
      <c r="N4" s="24"/>
      <c r="O4" s="24"/>
      <c r="P4" s="24"/>
    </row>
    <row r="5" customFormat="false" ht="12.8" hidden="false" customHeight="false" outlineLevel="0" collapsed="false">
      <c r="B5" s="26" t="s">
        <v>50</v>
      </c>
      <c r="C5" s="34" t="n">
        <v>43033.9993055556</v>
      </c>
      <c r="D5" s="34"/>
      <c r="E5" s="34"/>
      <c r="F5" s="49"/>
      <c r="G5" s="24"/>
      <c r="H5" s="25" t="s">
        <v>51</v>
      </c>
      <c r="I5" s="24"/>
      <c r="J5" s="25" t="s">
        <v>52</v>
      </c>
      <c r="K5" s="25" t="s">
        <v>52</v>
      </c>
      <c r="L5" s="24"/>
      <c r="N5" s="24"/>
      <c r="O5" s="24"/>
      <c r="P5" s="24"/>
    </row>
    <row r="6" customFormat="false" ht="12.8" hidden="false" customHeight="false" outlineLevel="0" collapsed="false">
      <c r="A6" s="25"/>
      <c r="B6" s="25" t="s">
        <v>16</v>
      </c>
      <c r="C6" s="25" t="s">
        <v>53</v>
      </c>
      <c r="D6" s="25" t="s">
        <v>54</v>
      </c>
      <c r="E6" s="25" t="s">
        <v>107</v>
      </c>
      <c r="F6" s="32" t="s">
        <v>55</v>
      </c>
      <c r="G6" s="32" t="s">
        <v>56</v>
      </c>
      <c r="H6" s="25" t="s">
        <v>57</v>
      </c>
      <c r="I6" s="32" t="s">
        <v>58</v>
      </c>
      <c r="J6" s="25" t="s">
        <v>43</v>
      </c>
      <c r="K6" s="32" t="s">
        <v>59</v>
      </c>
      <c r="L6" s="32" t="s">
        <v>60</v>
      </c>
      <c r="M6" s="50" t="s">
        <v>61</v>
      </c>
      <c r="N6" s="32" t="s">
        <v>62</v>
      </c>
      <c r="O6" s="32" t="s">
        <v>63</v>
      </c>
      <c r="P6" s="25" t="s">
        <v>64</v>
      </c>
      <c r="Q6" s="25" t="s">
        <v>65</v>
      </c>
    </row>
    <row r="7" customFormat="false" ht="12.8" hidden="false" customHeight="false" outlineLevel="0" collapsed="false">
      <c r="B7" s="25" t="s">
        <v>66</v>
      </c>
      <c r="C7" s="35" t="n">
        <v>43016</v>
      </c>
      <c r="D7" s="25" t="n">
        <v>1.8</v>
      </c>
      <c r="E7" s="25" t="n">
        <v>100</v>
      </c>
      <c r="F7" s="32" t="n">
        <f aca="false">E7/50</f>
        <v>2</v>
      </c>
      <c r="G7" s="36" t="n">
        <v>998</v>
      </c>
      <c r="H7" s="37" t="n">
        <f aca="false">G7/2/E7-1</f>
        <v>3.99</v>
      </c>
      <c r="I7" s="37" t="n">
        <f aca="false">I$4*(H$4+H$3)/(H7+H$3)</f>
        <v>3.11970074812968</v>
      </c>
      <c r="J7" s="38" t="n">
        <f aca="false">4+1.9</f>
        <v>5.9</v>
      </c>
      <c r="K7" s="39" t="n">
        <f aca="false">J7/200</f>
        <v>0.0295</v>
      </c>
      <c r="L7" s="32" t="n">
        <f aca="false">L$4*(K$3+K$4)/(K$3+K7)</f>
        <v>0.616161616161616</v>
      </c>
      <c r="M7" s="50" t="n">
        <v>2</v>
      </c>
      <c r="N7" s="40" t="n">
        <f aca="false">MIN(10,D7+F7+I7+L7+M7)</f>
        <v>9.53586236429129</v>
      </c>
      <c r="O7" s="41" t="n">
        <f aca="false">IF(C$5&lt;C7,_xlfn.DAYS(C7,C$5),0)*0.2</f>
        <v>0</v>
      </c>
      <c r="P7" s="12" t="n">
        <f aca="false">(1-O7)*N7</f>
        <v>9.53586236429129</v>
      </c>
      <c r="Q7" s="0" t="s">
        <v>108</v>
      </c>
    </row>
    <row r="8" customFormat="false" ht="12.8" hidden="false" customHeight="false" outlineLevel="0" collapsed="false">
      <c r="B8" s="0" t="n">
        <f aca="false">MC346A!A3</f>
        <v>101487</v>
      </c>
      <c r="C8" s="24"/>
      <c r="D8" s="24"/>
      <c r="E8" s="24"/>
      <c r="F8" s="49"/>
      <c r="G8" s="24"/>
      <c r="H8" s="24"/>
      <c r="I8" s="24"/>
      <c r="J8" s="24"/>
      <c r="K8" s="24"/>
      <c r="L8" s="24"/>
      <c r="N8" s="24"/>
      <c r="O8" s="24"/>
      <c r="P8" s="12"/>
    </row>
    <row r="9" customFormat="false" ht="12.8" hidden="false" customHeight="false" outlineLevel="0" collapsed="false">
      <c r="B9" s="0" t="n">
        <f aca="false">MC346A!A4</f>
        <v>116134</v>
      </c>
      <c r="C9" s="24"/>
      <c r="D9" s="24"/>
      <c r="E9" s="24"/>
      <c r="F9" s="49"/>
      <c r="G9" s="24"/>
      <c r="H9" s="24"/>
      <c r="I9" s="24"/>
      <c r="J9" s="24"/>
      <c r="K9" s="24"/>
      <c r="L9" s="24"/>
      <c r="N9" s="24"/>
      <c r="O9" s="24"/>
      <c r="P9" s="12"/>
    </row>
    <row r="10" customFormat="false" ht="12.8" hidden="false" customHeight="false" outlineLevel="0" collapsed="false">
      <c r="B10" s="0" t="n">
        <f aca="false">MC346A!A5</f>
        <v>117079</v>
      </c>
      <c r="C10" s="34" t="n">
        <v>43033.9389930556</v>
      </c>
      <c r="D10" s="24" t="n">
        <v>1.9</v>
      </c>
      <c r="E10" s="24" t="n">
        <v>360</v>
      </c>
      <c r="F10" s="49" t="n">
        <f aca="false">E10/180</f>
        <v>2</v>
      </c>
      <c r="G10" s="24" t="n">
        <v>5416</v>
      </c>
      <c r="H10" s="42" t="n">
        <f aca="false">G10/2/E10-1</f>
        <v>6.52222222222222</v>
      </c>
      <c r="I10" s="42" t="n">
        <f aca="false">I$4*(H$4+H$3)/(H10+H$3)</f>
        <v>1.91219429347826</v>
      </c>
      <c r="J10" s="24" t="n">
        <v>8</v>
      </c>
      <c r="K10" s="43" t="n">
        <f aca="false">J10/660</f>
        <v>0.0121212121212121</v>
      </c>
      <c r="L10" s="44" t="n">
        <f aca="false">L$4*(K$3+K$4)/(K$3+K10)</f>
        <v>0.949528301886793</v>
      </c>
      <c r="M10" s="48" t="n">
        <v>2</v>
      </c>
      <c r="N10" s="45" t="n">
        <f aca="false">MIN(10,D10+F10+I10+L10+M10)</f>
        <v>8.76172259536505</v>
      </c>
      <c r="O10" s="41" t="n">
        <f aca="false">IF(C$5&lt;C10,_xlfn.DAYS(C10,C$5),0)*0.2</f>
        <v>0</v>
      </c>
      <c r="P10" s="12" t="n">
        <f aca="false">(1-O10)*N10</f>
        <v>8.76172259536505</v>
      </c>
      <c r="Q10" s="0" t="s">
        <v>109</v>
      </c>
    </row>
    <row r="11" customFormat="false" ht="12.8" hidden="false" customHeight="false" outlineLevel="0" collapsed="false">
      <c r="B11" s="0" t="n">
        <f aca="false">MC346A!A6</f>
        <v>118363</v>
      </c>
      <c r="C11" s="34" t="n">
        <v>43033.788587963</v>
      </c>
      <c r="D11" s="24" t="n">
        <v>2</v>
      </c>
      <c r="E11" s="24" t="n">
        <v>360</v>
      </c>
      <c r="F11" s="49" t="n">
        <f aca="false">E11/180</f>
        <v>2</v>
      </c>
      <c r="G11" s="24" t="n">
        <v>3722</v>
      </c>
      <c r="H11" s="42" t="n">
        <f aca="false">G11/2/E11-1</f>
        <v>4.16944444444444</v>
      </c>
      <c r="I11" s="42" t="n">
        <f aca="false">I$4*(H$4+H$3)/(H11+H$3)</f>
        <v>2.98607611722583</v>
      </c>
      <c r="J11" s="24" t="n">
        <v>10</v>
      </c>
      <c r="K11" s="43" t="n">
        <f aca="false">J11/660</f>
        <v>0.0151515151515152</v>
      </c>
      <c r="L11" s="44" t="n">
        <f aca="false">L$4*(K$3+K$4)/(K$3+K11)</f>
        <v>0.867672413793103</v>
      </c>
      <c r="M11" s="48" t="n">
        <v>2</v>
      </c>
      <c r="N11" s="45" t="n">
        <f aca="false">MIN(10,D11+F11+I11+L11+M11)</f>
        <v>9.85374853101894</v>
      </c>
      <c r="O11" s="41" t="n">
        <f aca="false">IF(C$5&lt;C11,_xlfn.DAYS(C11,C$5),0)*0.2</f>
        <v>0</v>
      </c>
      <c r="P11" s="12" t="n">
        <f aca="false">(1-O11)*N11</f>
        <v>9.85374853101894</v>
      </c>
      <c r="Q11" s="0" t="s">
        <v>110</v>
      </c>
    </row>
    <row r="12" customFormat="false" ht="12.8" hidden="false" customHeight="false" outlineLevel="0" collapsed="false">
      <c r="B12" s="0" t="n">
        <f aca="false">MC346A!A7</f>
        <v>118827</v>
      </c>
      <c r="C12" s="34" t="n">
        <v>43029.0175810185</v>
      </c>
      <c r="D12" s="24" t="n">
        <v>1.5</v>
      </c>
      <c r="E12" s="24" t="n">
        <v>360</v>
      </c>
      <c r="F12" s="49" t="n">
        <f aca="false">E12/180</f>
        <v>2</v>
      </c>
      <c r="G12" s="24" t="n">
        <v>4428</v>
      </c>
      <c r="H12" s="42" t="n">
        <f aca="false">G12/2/E12-1</f>
        <v>5.15</v>
      </c>
      <c r="I12" s="42" t="n">
        <f aca="false">I$4*(H$4+H$3)/(H12+H$3)</f>
        <v>2.41972920696325</v>
      </c>
      <c r="J12" s="24" t="n">
        <v>7</v>
      </c>
      <c r="K12" s="43" t="n">
        <f aca="false">J12/660</f>
        <v>0.0106060606060606</v>
      </c>
      <c r="L12" s="44" t="n">
        <f aca="false">L$4*(K$3+K$4)/(K$3+K12)</f>
        <v>0.996534653465346</v>
      </c>
      <c r="M12" s="48" t="n">
        <v>2</v>
      </c>
      <c r="N12" s="45" t="n">
        <f aca="false">MIN(10,D12+F12+I12+L12+M12)</f>
        <v>8.9162638604286</v>
      </c>
      <c r="O12" s="41" t="n">
        <f aca="false">IF(C$5&lt;C12,_xlfn.DAYS(C12,C$5),0)*0.2</f>
        <v>0</v>
      </c>
      <c r="P12" s="12" t="n">
        <f aca="false">(1-O12)*N12</f>
        <v>8.9162638604286</v>
      </c>
      <c r="Q12" s="0" t="s">
        <v>111</v>
      </c>
    </row>
    <row r="13" customFormat="false" ht="12.8" hidden="false" customHeight="false" outlineLevel="0" collapsed="false">
      <c r="B13" s="0" t="n">
        <f aca="false">MC346A!A8</f>
        <v>119494</v>
      </c>
      <c r="C13" s="34"/>
      <c r="D13" s="24"/>
      <c r="E13" s="24"/>
      <c r="F13" s="49"/>
      <c r="G13" s="24"/>
      <c r="H13" s="42"/>
      <c r="I13" s="42"/>
      <c r="J13" s="24"/>
      <c r="K13" s="43"/>
      <c r="L13" s="44"/>
      <c r="N13" s="45"/>
      <c r="O13" s="41"/>
      <c r="P13" s="12"/>
    </row>
    <row r="14" customFormat="false" ht="12.8" hidden="false" customHeight="false" outlineLevel="0" collapsed="false">
      <c r="B14" s="0" t="n">
        <f aca="false">MC346A!A9</f>
        <v>119637</v>
      </c>
      <c r="C14" s="34"/>
      <c r="D14" s="24"/>
      <c r="E14" s="24"/>
      <c r="F14" s="49"/>
      <c r="G14" s="24"/>
      <c r="H14" s="42"/>
      <c r="I14" s="42"/>
      <c r="J14" s="24"/>
      <c r="K14" s="43"/>
      <c r="L14" s="44"/>
      <c r="N14" s="45"/>
      <c r="O14" s="41"/>
      <c r="P14" s="12"/>
    </row>
    <row r="15" customFormat="false" ht="12.8" hidden="false" customHeight="false" outlineLevel="0" collapsed="false">
      <c r="B15" s="0" t="n">
        <f aca="false">MC346A!A10</f>
        <v>135680</v>
      </c>
      <c r="C15" s="34" t="n">
        <v>43032.7732407407</v>
      </c>
      <c r="D15" s="24" t="n">
        <v>2</v>
      </c>
      <c r="E15" s="24" t="n">
        <v>360</v>
      </c>
      <c r="F15" s="49" t="n">
        <f aca="false">E15/180</f>
        <v>2</v>
      </c>
      <c r="G15" s="24" t="n">
        <v>4024</v>
      </c>
      <c r="H15" s="42" t="n">
        <f aca="false">G15/2/E15-1</f>
        <v>4.58888888888889</v>
      </c>
      <c r="I15" s="42" t="n">
        <f aca="false">I$4*(H$4+H$3)/(H15+H$3)</f>
        <v>2.71432015429122</v>
      </c>
      <c r="J15" s="24" t="n">
        <f aca="false">10*60+7</f>
        <v>607</v>
      </c>
      <c r="K15" s="43" t="n">
        <f aca="false">J15/660</f>
        <v>0.91969696969697</v>
      </c>
      <c r="L15" s="44" t="n">
        <f aca="false">L$4*(K$3+K$4)/(K$3+K15)</f>
        <v>0.032457271847791</v>
      </c>
      <c r="M15" s="48" t="n">
        <v>0</v>
      </c>
      <c r="N15" s="45" t="n">
        <f aca="false">MIN(10,D15+F15+I15+L15+M15)</f>
        <v>6.74677742613902</v>
      </c>
      <c r="O15" s="41" t="n">
        <f aca="false">IF(C$5&lt;C15,_xlfn.DAYS(C15,C$5),0)*0.2</f>
        <v>0</v>
      </c>
      <c r="P15" s="12" t="n">
        <f aca="false">(1-O15)*N15</f>
        <v>6.74677742613902</v>
      </c>
      <c r="Q15" s="0" t="s">
        <v>112</v>
      </c>
    </row>
    <row r="16" customFormat="false" ht="12.8" hidden="false" customHeight="false" outlineLevel="0" collapsed="false">
      <c r="B16" s="0" t="n">
        <f aca="false">MC346A!A11</f>
        <v>135986</v>
      </c>
      <c r="C16" s="34"/>
      <c r="D16" s="24"/>
      <c r="E16" s="24"/>
      <c r="F16" s="49"/>
      <c r="G16" s="24"/>
      <c r="H16" s="42"/>
      <c r="I16" s="42"/>
      <c r="J16" s="24"/>
      <c r="K16" s="24"/>
      <c r="L16" s="24"/>
      <c r="N16" s="45"/>
      <c r="O16" s="41"/>
      <c r="P16" s="12"/>
    </row>
    <row r="17" customFormat="false" ht="12.8" hidden="false" customHeight="false" outlineLevel="0" collapsed="false">
      <c r="B17" s="0" t="n">
        <f aca="false">MC346A!A12</f>
        <v>136454</v>
      </c>
      <c r="C17" s="24"/>
      <c r="D17" s="24"/>
      <c r="E17" s="24"/>
      <c r="F17" s="49"/>
      <c r="G17" s="24"/>
      <c r="H17" s="24"/>
      <c r="I17" s="24"/>
      <c r="J17" s="24"/>
      <c r="K17" s="24"/>
      <c r="L17" s="24"/>
      <c r="N17" s="24"/>
      <c r="O17" s="24"/>
      <c r="P17" s="12"/>
    </row>
    <row r="18" customFormat="false" ht="12.8" hidden="false" customHeight="false" outlineLevel="0" collapsed="false">
      <c r="B18" s="0" t="n">
        <f aca="false">MC346A!A13</f>
        <v>137733</v>
      </c>
      <c r="C18" s="34" t="n">
        <v>43035.1713888889</v>
      </c>
      <c r="D18" s="24" t="n">
        <v>1.8</v>
      </c>
      <c r="E18" s="24" t="n">
        <v>360</v>
      </c>
      <c r="F18" s="49" t="n">
        <f aca="false">E18/180</f>
        <v>2</v>
      </c>
      <c r="G18" s="24" t="n">
        <v>5130</v>
      </c>
      <c r="H18" s="42" t="n">
        <f aca="false">G18/2/E18-1</f>
        <v>6.125</v>
      </c>
      <c r="I18" s="42" t="n">
        <f aca="false">I$4*(H$4+H$3)/(H18+H$3)</f>
        <v>2.03580146460537</v>
      </c>
      <c r="J18" s="24" t="n">
        <v>8</v>
      </c>
      <c r="K18" s="43" t="n">
        <f aca="false">J18/660</f>
        <v>0.0121212121212121</v>
      </c>
      <c r="L18" s="44" t="n">
        <f aca="false">L$4*(K$3+K$4)/(K$3+K18)</f>
        <v>0.949528301886793</v>
      </c>
      <c r="M18" s="48" t="n">
        <v>2</v>
      </c>
      <c r="N18" s="45" t="n">
        <f aca="false">MIN(10,D18+F18+I18+L18+M18)</f>
        <v>8.78532976649216</v>
      </c>
      <c r="O18" s="41" t="n">
        <f aca="false">IF(C$5&lt;C18,_xlfn.DAYS(C18,C$5),0)*0.2</f>
        <v>0.2344166666604</v>
      </c>
      <c r="P18" s="12" t="n">
        <f aca="false">(1-O18)*N18</f>
        <v>6.72590204711868</v>
      </c>
      <c r="Q18" s="0" t="s">
        <v>113</v>
      </c>
    </row>
    <row r="19" customFormat="false" ht="12.8" hidden="false" customHeight="false" outlineLevel="0" collapsed="false">
      <c r="B19" s="0" t="n">
        <f aca="false">MC346A!A14</f>
        <v>138745</v>
      </c>
      <c r="C19" s="34" t="n">
        <v>43031.8782986111</v>
      </c>
      <c r="D19" s="24" t="n">
        <v>1.7</v>
      </c>
      <c r="E19" s="24" t="n">
        <v>360</v>
      </c>
      <c r="F19" s="49" t="n">
        <f aca="false">E19/180</f>
        <v>2</v>
      </c>
      <c r="G19" s="24" t="n">
        <v>5024</v>
      </c>
      <c r="H19" s="42" t="n">
        <f aca="false">G19/2/E19-1</f>
        <v>5.97777777777778</v>
      </c>
      <c r="I19" s="42" t="n">
        <f aca="false">I$4*(H$4+H$3)/(H19+H$3)</f>
        <v>2.08577250833642</v>
      </c>
      <c r="J19" s="24" t="n">
        <v>12</v>
      </c>
      <c r="K19" s="43" t="n">
        <f aca="false">J19/660</f>
        <v>0.0181818181818182</v>
      </c>
      <c r="L19" s="44" t="n">
        <f aca="false">L$4*(K$3+K$4)/(K$3+K19)</f>
        <v>0.798809523809524</v>
      </c>
      <c r="M19" s="48" t="n">
        <v>2</v>
      </c>
      <c r="N19" s="45" t="n">
        <f aca="false">MIN(10,D19+F19+I19+L19+M19)</f>
        <v>8.58458203214595</v>
      </c>
      <c r="O19" s="41" t="n">
        <f aca="false">IF(C$5&lt;C19,_xlfn.DAYS(C19,C$5),0)*0.2</f>
        <v>0</v>
      </c>
      <c r="P19" s="12" t="n">
        <f aca="false">(1-O19)*N19</f>
        <v>8.58458203214595</v>
      </c>
      <c r="Q19" s="0" t="s">
        <v>114</v>
      </c>
    </row>
    <row r="20" customFormat="false" ht="12.8" hidden="false" customHeight="false" outlineLevel="0" collapsed="false">
      <c r="B20" s="0" t="n">
        <f aca="false">MC346A!A15</f>
        <v>138771</v>
      </c>
      <c r="C20" s="34" t="n">
        <v>43033.9327083333</v>
      </c>
      <c r="D20" s="24" t="n">
        <v>1</v>
      </c>
      <c r="E20" s="24" t="n">
        <v>360</v>
      </c>
      <c r="F20" s="49" t="n">
        <f aca="false">E20/180</f>
        <v>2</v>
      </c>
      <c r="G20" s="24" t="n">
        <v>10962</v>
      </c>
      <c r="H20" s="42" t="n">
        <f aca="false">G20/2/E20-1</f>
        <v>14.225</v>
      </c>
      <c r="I20" s="42" t="n">
        <f aca="false">I$4*(H$4+H$3)/(H20+H$3)</f>
        <v>0.878202878202878</v>
      </c>
      <c r="J20" s="24" t="n">
        <f aca="false">8*60+53</f>
        <v>533</v>
      </c>
      <c r="K20" s="43" t="n">
        <f aca="false">J20/660</f>
        <v>0.807575757575758</v>
      </c>
      <c r="L20" s="44" t="n">
        <f aca="false">L$4*(K$3+K$4)/(K$3+K20)</f>
        <v>0.0368546320029293</v>
      </c>
      <c r="M20" s="48" t="n">
        <v>0.3</v>
      </c>
      <c r="N20" s="45" t="n">
        <f aca="false">MIN(10,D20+F20+I20+L20+M20)</f>
        <v>4.21505751020581</v>
      </c>
      <c r="O20" s="41" t="n">
        <f aca="false">IF(C$5&lt;C20,_xlfn.DAYS(C20,C$5),0)*0.2</f>
        <v>0</v>
      </c>
      <c r="P20" s="12" t="n">
        <f aca="false">(1-O20)*N20</f>
        <v>4.21505751020581</v>
      </c>
      <c r="Q20" s="0" t="s">
        <v>115</v>
      </c>
    </row>
    <row r="21" customFormat="false" ht="12.8" hidden="false" customHeight="false" outlineLevel="0" collapsed="false">
      <c r="B21" s="0" t="n">
        <f aca="false">MC346A!A16</f>
        <v>145510</v>
      </c>
      <c r="C21" s="24"/>
      <c r="D21" s="24"/>
      <c r="E21" s="24"/>
      <c r="F21" s="49"/>
      <c r="G21" s="24"/>
      <c r="H21" s="24"/>
      <c r="I21" s="24"/>
      <c r="J21" s="24"/>
      <c r="K21" s="24"/>
      <c r="L21" s="24"/>
      <c r="N21" s="24"/>
      <c r="O21" s="24"/>
      <c r="P21" s="12"/>
    </row>
    <row r="22" customFormat="false" ht="12.8" hidden="false" customHeight="false" outlineLevel="0" collapsed="false">
      <c r="B22" s="0" t="n">
        <f aca="false">MC346A!A17</f>
        <v>145552</v>
      </c>
      <c r="C22" s="34" t="n">
        <v>43034.6006944444</v>
      </c>
      <c r="D22" s="24" t="n">
        <v>1.4</v>
      </c>
      <c r="E22" s="24" t="n">
        <v>360</v>
      </c>
      <c r="F22" s="49" t="n">
        <f aca="false">E22/180</f>
        <v>2</v>
      </c>
      <c r="G22" s="24" t="n">
        <v>14760</v>
      </c>
      <c r="H22" s="42" t="n">
        <f aca="false">G22/2/E22-1</f>
        <v>19.5</v>
      </c>
      <c r="I22" s="42" t="n">
        <f aca="false">I$4*(H$4+H$3)/(H22+H$3)</f>
        <v>0.640881147540984</v>
      </c>
      <c r="J22" s="24" t="n">
        <f aca="false">9*60+40</f>
        <v>580</v>
      </c>
      <c r="K22" s="43" t="n">
        <f aca="false">J22/660</f>
        <v>0.878787878787879</v>
      </c>
      <c r="L22" s="44" t="n">
        <f aca="false">L$4*(K$3+K$4)/(K$3+K22)</f>
        <v>0.0339345920431558</v>
      </c>
      <c r="M22" s="48" t="n">
        <v>2</v>
      </c>
      <c r="N22" s="45" t="n">
        <f aca="false">MIN(10,D22+F22+I22+L22+M22)</f>
        <v>6.07481573958414</v>
      </c>
      <c r="O22" s="41" t="n">
        <f aca="false">IF(C$5&lt;C22,_xlfn.DAYS(C22,C$5),0)*0.2</f>
        <v>0.12027777776093</v>
      </c>
      <c r="P22" s="12" t="n">
        <f aca="false">(1-O22)*N22</f>
        <v>5.34415040211984</v>
      </c>
      <c r="Q22" s="0" t="s">
        <v>116</v>
      </c>
    </row>
    <row r="23" customFormat="false" ht="12.8" hidden="false" customHeight="false" outlineLevel="0" collapsed="false">
      <c r="B23" s="0" t="n">
        <f aca="false">MC346A!A18</f>
        <v>145763</v>
      </c>
      <c r="C23" s="24"/>
      <c r="D23" s="24"/>
      <c r="E23" s="24"/>
      <c r="F23" s="49"/>
      <c r="G23" s="24"/>
      <c r="H23" s="24"/>
      <c r="I23" s="24"/>
      <c r="J23" s="24"/>
      <c r="K23" s="24"/>
      <c r="L23" s="24"/>
      <c r="N23" s="24"/>
      <c r="O23" s="24"/>
      <c r="P23" s="12"/>
    </row>
    <row r="24" customFormat="false" ht="12.8" hidden="false" customHeight="false" outlineLevel="0" collapsed="false">
      <c r="B24" s="0" t="n">
        <f aca="false">MC346A!A19</f>
        <v>146040</v>
      </c>
      <c r="C24" s="34" t="n">
        <v>43033.6887847222</v>
      </c>
      <c r="D24" s="24" t="n">
        <v>0.8</v>
      </c>
      <c r="E24" s="24" t="n">
        <v>360</v>
      </c>
      <c r="F24" s="49" t="n">
        <f aca="false">E24/180</f>
        <v>2</v>
      </c>
      <c r="G24" s="24" t="n">
        <v>14040</v>
      </c>
      <c r="H24" s="42" t="n">
        <f aca="false">G24/2/E24-1</f>
        <v>18.5</v>
      </c>
      <c r="I24" s="42" t="n">
        <f aca="false">I$4*(H$4+H$3)/(H24+H$3)</f>
        <v>0.67548596112311</v>
      </c>
      <c r="J24" s="24" t="n">
        <v>7</v>
      </c>
      <c r="K24" s="43" t="n">
        <f aca="false">J24/660</f>
        <v>0.0106060606060606</v>
      </c>
      <c r="L24" s="44" t="n">
        <f aca="false">L$4*(K$3+K$4)/(K$3+K24)</f>
        <v>0.996534653465346</v>
      </c>
      <c r="M24" s="48" t="n">
        <v>2</v>
      </c>
      <c r="N24" s="45" t="n">
        <f aca="false">MIN(10,D24+F24+I24+L24+M24)</f>
        <v>6.47202061458846</v>
      </c>
      <c r="O24" s="41" t="n">
        <f aca="false">IF(C$5&lt;C24,_xlfn.DAYS(C24,C$5),0)*0.2</f>
        <v>0</v>
      </c>
      <c r="P24" s="12" t="n">
        <f aca="false">(1-O24)*N24</f>
        <v>6.47202061458846</v>
      </c>
      <c r="Q24" s="0" t="s">
        <v>117</v>
      </c>
    </row>
    <row r="25" customFormat="false" ht="12.8" hidden="false" customHeight="false" outlineLevel="0" collapsed="false">
      <c r="B25" s="0" t="n">
        <f aca="false">MC346A!A20</f>
        <v>146098</v>
      </c>
      <c r="C25" s="34" t="n">
        <v>43032.7680902778</v>
      </c>
      <c r="D25" s="24" t="n">
        <v>1.6</v>
      </c>
      <c r="E25" s="24" t="n">
        <v>360</v>
      </c>
      <c r="F25" s="49" t="n">
        <f aca="false">E25/180</f>
        <v>2</v>
      </c>
      <c r="G25" s="24" t="n">
        <v>3706</v>
      </c>
      <c r="H25" s="42" t="n">
        <f aca="false">G25/2/E25-1</f>
        <v>4.14722222222222</v>
      </c>
      <c r="I25" s="42" t="n">
        <f aca="false">I$4*(H$4+H$3)/(H25+H$3)</f>
        <v>3.00199973336888</v>
      </c>
      <c r="J25" s="24" t="n">
        <v>11</v>
      </c>
      <c r="K25" s="43" t="n">
        <f aca="false">J25/660</f>
        <v>0.0166666666666667</v>
      </c>
      <c r="L25" s="44" t="n">
        <f aca="false">L$4*(K$3+K$4)/(K$3+K25)</f>
        <v>0.831818181818182</v>
      </c>
      <c r="M25" s="48" t="n">
        <v>2</v>
      </c>
      <c r="N25" s="45" t="n">
        <f aca="false">MIN(10,D25+F25+I25+L25+M25)</f>
        <v>9.43381791518707</v>
      </c>
      <c r="O25" s="41" t="n">
        <f aca="false">IF(C$5&lt;C25,_xlfn.DAYS(C25,C$5),0)*0.2</f>
        <v>0</v>
      </c>
      <c r="P25" s="12" t="n">
        <f aca="false">(1-O25)*N25</f>
        <v>9.43381791518707</v>
      </c>
      <c r="Q25" s="0" t="s">
        <v>118</v>
      </c>
    </row>
    <row r="26" customFormat="false" ht="12.8" hidden="false" customHeight="false" outlineLevel="0" collapsed="false">
      <c r="B26" s="0" t="n">
        <f aca="false">MC346A!A21</f>
        <v>146310</v>
      </c>
      <c r="C26" s="34" t="n">
        <v>43033.9676157407</v>
      </c>
      <c r="D26" s="24" t="n">
        <v>1.8</v>
      </c>
      <c r="E26" s="24" t="n">
        <v>360</v>
      </c>
      <c r="F26" s="49" t="n">
        <f aca="false">E26/180</f>
        <v>2</v>
      </c>
      <c r="G26" s="24" t="n">
        <v>3752</v>
      </c>
      <c r="H26" s="42" t="n">
        <f aca="false">G26/2/E26-1</f>
        <v>4.21111111111111</v>
      </c>
      <c r="I26" s="42" t="n">
        <f aca="false">I$4*(H$4+H$3)/(H26+H$3)</f>
        <v>2.95667016806723</v>
      </c>
      <c r="J26" s="24" t="n">
        <v>8</v>
      </c>
      <c r="K26" s="43" t="n">
        <f aca="false">J26/660</f>
        <v>0.0121212121212121</v>
      </c>
      <c r="L26" s="44" t="n">
        <f aca="false">L$4*(K$3+K$4)/(K$3+K26)</f>
        <v>0.949528301886793</v>
      </c>
      <c r="M26" s="48" t="n">
        <v>2</v>
      </c>
      <c r="N26" s="45" t="n">
        <f aca="false">MIN(10,D26+F26+I26+L26+M26)</f>
        <v>9.70619846995402</v>
      </c>
      <c r="O26" s="41" t="n">
        <f aca="false">IF(C$5&lt;C26,_xlfn.DAYS(C26,C$5),0)*0.2</f>
        <v>0</v>
      </c>
      <c r="P26" s="12" t="n">
        <f aca="false">(1-O26)*N26</f>
        <v>9.70619846995402</v>
      </c>
      <c r="Q26" s="0" t="s">
        <v>119</v>
      </c>
    </row>
    <row r="27" customFormat="false" ht="12.8" hidden="false" customHeight="false" outlineLevel="0" collapsed="false">
      <c r="B27" s="0" t="n">
        <f aca="false">MC346A!A22</f>
        <v>146318</v>
      </c>
      <c r="C27" s="34"/>
      <c r="D27" s="24"/>
      <c r="E27" s="24"/>
      <c r="F27" s="49"/>
      <c r="G27" s="24"/>
      <c r="H27" s="24"/>
      <c r="I27" s="42"/>
      <c r="J27" s="24"/>
      <c r="K27" s="24"/>
      <c r="L27" s="24"/>
      <c r="N27" s="45"/>
      <c r="O27" s="41"/>
      <c r="P27" s="12"/>
    </row>
    <row r="28" customFormat="false" ht="12.8" hidden="false" customHeight="false" outlineLevel="0" collapsed="false">
      <c r="B28" s="0" t="n">
        <f aca="false">MC346A!A23</f>
        <v>146383</v>
      </c>
      <c r="C28" s="24"/>
      <c r="D28" s="24"/>
      <c r="E28" s="24"/>
      <c r="F28" s="49"/>
      <c r="G28" s="24"/>
      <c r="H28" s="24"/>
      <c r="I28" s="24"/>
      <c r="J28" s="24"/>
      <c r="K28" s="24"/>
      <c r="L28" s="24"/>
      <c r="N28" s="24"/>
      <c r="O28" s="24"/>
      <c r="P28" s="12"/>
    </row>
    <row r="29" customFormat="false" ht="12.8" hidden="false" customHeight="false" outlineLevel="0" collapsed="false">
      <c r="B29" s="0" t="n">
        <f aca="false">MC346A!A24</f>
        <v>146752</v>
      </c>
      <c r="C29" s="34"/>
      <c r="D29" s="24"/>
      <c r="E29" s="24"/>
      <c r="F29" s="49"/>
      <c r="G29" s="24"/>
      <c r="H29" s="42"/>
      <c r="I29" s="42"/>
      <c r="J29" s="24"/>
      <c r="K29" s="43"/>
      <c r="L29" s="44"/>
      <c r="N29" s="45"/>
      <c r="O29" s="41"/>
      <c r="P29" s="12"/>
    </row>
    <row r="30" customFormat="false" ht="12.8" hidden="false" customHeight="false" outlineLevel="0" collapsed="false">
      <c r="B30" s="0" t="n">
        <f aca="false">MC346A!A25</f>
        <v>147338</v>
      </c>
      <c r="C30" s="34" t="n">
        <v>43020.3668634259</v>
      </c>
      <c r="D30" s="24" t="n">
        <v>1.4</v>
      </c>
      <c r="E30" s="24" t="n">
        <v>360</v>
      </c>
      <c r="F30" s="49" t="n">
        <f aca="false">E30/180</f>
        <v>2</v>
      </c>
      <c r="G30" s="24" t="n">
        <v>3752</v>
      </c>
      <c r="H30" s="42" t="n">
        <f aca="false">G30/2/E30-1</f>
        <v>4.21111111111111</v>
      </c>
      <c r="I30" s="42" t="n">
        <f aca="false">I$4*(H$4+H$3)/(H30+H$3)</f>
        <v>2.95667016806723</v>
      </c>
      <c r="J30" s="24" t="n">
        <v>8</v>
      </c>
      <c r="K30" s="43" t="n">
        <f aca="false">J30/660</f>
        <v>0.0121212121212121</v>
      </c>
      <c r="L30" s="44" t="n">
        <f aca="false">L$4*(K$3+K$4)/(K$3+K30)</f>
        <v>0.949528301886793</v>
      </c>
      <c r="M30" s="48" t="n">
        <v>2</v>
      </c>
      <c r="N30" s="45" t="n">
        <f aca="false">MIN(10,D30+F30+I30+L30+M30)</f>
        <v>9.30619846995402</v>
      </c>
      <c r="O30" s="41" t="n">
        <f aca="false">IF(C$5&lt;C30,_xlfn.DAYS(C30,C$5),0)*0.2</f>
        <v>0</v>
      </c>
      <c r="P30" s="12" t="n">
        <f aca="false">(1-O30)*N30</f>
        <v>9.30619846995402</v>
      </c>
      <c r="Q30" s="0" t="s">
        <v>120</v>
      </c>
    </row>
    <row r="31" customFormat="false" ht="12.8" hidden="false" customHeight="false" outlineLevel="0" collapsed="false">
      <c r="B31" s="0" t="n">
        <f aca="false">MC346A!A26</f>
        <v>148246</v>
      </c>
      <c r="C31" s="34" t="n">
        <v>43032.0093287037</v>
      </c>
      <c r="D31" s="24" t="n">
        <v>1.8</v>
      </c>
      <c r="E31" s="24" t="n">
        <v>360</v>
      </c>
      <c r="F31" s="49" t="n">
        <f aca="false">E31/180</f>
        <v>2</v>
      </c>
      <c r="G31" s="24" t="n">
        <v>14040</v>
      </c>
      <c r="H31" s="42" t="n">
        <f aca="false">G31/2/E31-1</f>
        <v>18.5</v>
      </c>
      <c r="I31" s="42" t="n">
        <f aca="false">I$4*(H$4+H$3)/(H31+H$3)</f>
        <v>0.67548596112311</v>
      </c>
      <c r="J31" s="24" t="n">
        <v>7</v>
      </c>
      <c r="K31" s="43" t="n">
        <f aca="false">J31/660</f>
        <v>0.0106060606060606</v>
      </c>
      <c r="L31" s="44" t="n">
        <f aca="false">L$4*(K$3+K$4)/(K$3+K31)</f>
        <v>0.996534653465346</v>
      </c>
      <c r="M31" s="48" t="n">
        <v>2</v>
      </c>
      <c r="N31" s="45" t="n">
        <f aca="false">MIN(10,D31+F31+I31+L31+M31)</f>
        <v>7.47202061458846</v>
      </c>
      <c r="O31" s="41" t="n">
        <f aca="false">IF(C$5&lt;C31,_xlfn.DAYS(C31,C$5),0)*0.2</f>
        <v>0</v>
      </c>
      <c r="P31" s="12" t="n">
        <f aca="false">(1-O31)*N31</f>
        <v>7.47202061458846</v>
      </c>
      <c r="Q31" s="0" t="s">
        <v>121</v>
      </c>
    </row>
    <row r="32" customFormat="false" ht="12.8" hidden="false" customHeight="false" outlineLevel="0" collapsed="false">
      <c r="B32" s="0" t="n">
        <f aca="false">MC346A!A27</f>
        <v>148387</v>
      </c>
      <c r="C32" s="24"/>
      <c r="D32" s="24"/>
      <c r="E32" s="24"/>
      <c r="F32" s="49"/>
      <c r="G32" s="24"/>
      <c r="H32" s="24"/>
      <c r="I32" s="24"/>
      <c r="J32" s="24"/>
      <c r="K32" s="24"/>
      <c r="L32" s="24"/>
      <c r="N32" s="24"/>
      <c r="O32" s="24"/>
      <c r="P32" s="12"/>
    </row>
    <row r="33" customFormat="false" ht="12.8" hidden="false" customHeight="false" outlineLevel="0" collapsed="false">
      <c r="B33" s="0" t="n">
        <f aca="false">MC346A!A28</f>
        <v>149014</v>
      </c>
      <c r="C33" s="24"/>
      <c r="D33" s="24"/>
      <c r="E33" s="24"/>
      <c r="F33" s="49"/>
      <c r="G33" s="24"/>
      <c r="H33" s="24"/>
      <c r="I33" s="24"/>
      <c r="J33" s="24"/>
      <c r="K33" s="24"/>
      <c r="L33" s="24"/>
      <c r="N33" s="24"/>
      <c r="O33" s="24"/>
      <c r="P33" s="12"/>
    </row>
    <row r="34" customFormat="false" ht="12.8" hidden="false" customHeight="false" outlineLevel="0" collapsed="false">
      <c r="B34" s="0" t="n">
        <f aca="false">MC346A!A29</f>
        <v>150604</v>
      </c>
      <c r="C34" s="34" t="n">
        <v>43033.759525463</v>
      </c>
      <c r="D34" s="24" t="n">
        <v>1.7</v>
      </c>
      <c r="E34" s="24" t="n">
        <v>360</v>
      </c>
      <c r="F34" s="49" t="n">
        <f aca="false">E34/180</f>
        <v>2</v>
      </c>
      <c r="G34" s="24" t="n">
        <v>5416</v>
      </c>
      <c r="H34" s="42" t="n">
        <f aca="false">G34/2/E34-1</f>
        <v>6.52222222222222</v>
      </c>
      <c r="I34" s="42" t="n">
        <f aca="false">I$4*(H$4+H$3)/(H34+H$3)</f>
        <v>1.91219429347826</v>
      </c>
      <c r="J34" s="24" t="n">
        <v>8</v>
      </c>
      <c r="K34" s="43" t="n">
        <f aca="false">J34/660</f>
        <v>0.0121212121212121</v>
      </c>
      <c r="L34" s="44" t="n">
        <f aca="false">L$4*(K$3+K$4)/(K$3+K34)</f>
        <v>0.949528301886793</v>
      </c>
      <c r="M34" s="48" t="n">
        <v>2</v>
      </c>
      <c r="N34" s="45" t="n">
        <f aca="false">MIN(10,D34+F34+I34+L34+M34)</f>
        <v>8.56172259536505</v>
      </c>
      <c r="O34" s="41" t="n">
        <f aca="false">IF(C$5&lt;C34,_xlfn.DAYS(C34,C$5),0)*0.2</f>
        <v>0</v>
      </c>
      <c r="P34" s="12" t="n">
        <f aca="false">(1-O34)*N34</f>
        <v>8.56172259536505</v>
      </c>
      <c r="Q34" s="0" t="s">
        <v>122</v>
      </c>
    </row>
    <row r="35" customFormat="false" ht="12.8" hidden="false" customHeight="false" outlineLevel="0" collapsed="false">
      <c r="B35" s="0" t="n">
        <f aca="false">MC346A!A30</f>
        <v>150630</v>
      </c>
      <c r="C35" s="34" t="n">
        <v>43033.9366898148</v>
      </c>
      <c r="D35" s="24" t="n">
        <f aca="false">1.4-1</f>
        <v>0.4</v>
      </c>
      <c r="E35" s="24" t="n">
        <v>360</v>
      </c>
      <c r="F35" s="49" t="n">
        <f aca="false">E35/180</f>
        <v>2</v>
      </c>
      <c r="G35" s="24" t="n">
        <v>5024</v>
      </c>
      <c r="H35" s="42" t="n">
        <f aca="false">G35/2/E35-1</f>
        <v>5.97777777777778</v>
      </c>
      <c r="I35" s="42" t="n">
        <f aca="false">I$4*(H$4+H$3)/(H35+H$3)</f>
        <v>2.08577250833642</v>
      </c>
      <c r="J35" s="24" t="n">
        <f aca="false">6*60+15</f>
        <v>375</v>
      </c>
      <c r="K35" s="43" t="n">
        <f aca="false">J35/660</f>
        <v>0.568181818181818</v>
      </c>
      <c r="L35" s="44" t="n">
        <f aca="false">L$4*(K$3+K$4)/(K$3+K35)</f>
        <v>0.051854714064915</v>
      </c>
      <c r="M35" s="48" t="n">
        <f aca="false">117/300*2</f>
        <v>0.78</v>
      </c>
      <c r="N35" s="45" t="n">
        <f aca="false">MIN(10,D35+F35+I35+L35+M35)</f>
        <v>5.31762722240134</v>
      </c>
      <c r="O35" s="41" t="n">
        <f aca="false">IF(C$5&lt;C35,_xlfn.DAYS(C35,C$5),0)*0.2</f>
        <v>0</v>
      </c>
      <c r="P35" s="12" t="n">
        <f aca="false">(1-O35)*N35</f>
        <v>5.31762722240134</v>
      </c>
      <c r="Q35" s="0" t="s">
        <v>123</v>
      </c>
    </row>
    <row r="36" customFormat="false" ht="12.8" hidden="false" customHeight="false" outlineLevel="0" collapsed="false">
      <c r="B36" s="0" t="n">
        <f aca="false">MC346A!A31</f>
        <v>155299</v>
      </c>
      <c r="C36" s="34"/>
      <c r="D36" s="24"/>
      <c r="E36" s="24"/>
      <c r="F36" s="49"/>
      <c r="G36" s="24"/>
      <c r="H36" s="42"/>
      <c r="I36" s="42"/>
      <c r="J36" s="24"/>
      <c r="K36" s="43"/>
      <c r="L36" s="44"/>
      <c r="N36" s="45"/>
      <c r="O36" s="41"/>
      <c r="P36" s="12"/>
    </row>
    <row r="37" customFormat="false" ht="12.8" hidden="false" customHeight="false" outlineLevel="0" collapsed="false">
      <c r="B37" s="0" t="n">
        <f aca="false">MC346A!A32</f>
        <v>155646</v>
      </c>
      <c r="C37" s="34"/>
      <c r="D37" s="24"/>
      <c r="E37" s="24"/>
      <c r="F37" s="49"/>
      <c r="G37" s="24"/>
      <c r="H37" s="24"/>
      <c r="I37" s="42"/>
      <c r="J37" s="24"/>
      <c r="K37" s="24"/>
      <c r="L37" s="24"/>
      <c r="N37" s="45"/>
      <c r="O37" s="41"/>
      <c r="P37" s="12"/>
    </row>
    <row r="38" customFormat="false" ht="12.8" hidden="false" customHeight="false" outlineLevel="0" collapsed="false">
      <c r="B38" s="0" t="n">
        <f aca="false">MC346A!A33</f>
        <v>155943</v>
      </c>
      <c r="C38" s="34" t="n">
        <v>43033.7230902778</v>
      </c>
      <c r="D38" s="24" t="n">
        <v>2</v>
      </c>
      <c r="E38" s="24" t="n">
        <v>360</v>
      </c>
      <c r="F38" s="49" t="n">
        <f aca="false">E38/180</f>
        <v>2</v>
      </c>
      <c r="G38" s="24" t="n">
        <v>3706</v>
      </c>
      <c r="H38" s="42" t="n">
        <f aca="false">G38/2/E38-1</f>
        <v>4.14722222222222</v>
      </c>
      <c r="I38" s="42" t="n">
        <f aca="false">I$4*(H$4+H$3)/(H38+H$3)</f>
        <v>3.00199973336888</v>
      </c>
      <c r="J38" s="24" t="n">
        <v>7</v>
      </c>
      <c r="K38" s="43" t="n">
        <f aca="false">J38/660</f>
        <v>0.0106060606060606</v>
      </c>
      <c r="L38" s="44" t="n">
        <f aca="false">L$4*(K$3+K$4)/(K$3+K38)</f>
        <v>0.996534653465346</v>
      </c>
      <c r="M38" s="48" t="n">
        <v>2</v>
      </c>
      <c r="N38" s="45" t="n">
        <f aca="false">MIN(10,D38+F38+I38+L38+M38)</f>
        <v>9.99853438683423</v>
      </c>
      <c r="O38" s="41" t="n">
        <f aca="false">IF(C$5&lt;C38,_xlfn.DAYS(C38,C$5),0)*0.2</f>
        <v>0</v>
      </c>
      <c r="P38" s="12" t="n">
        <f aca="false">(1-O38)*N38</f>
        <v>9.99853438683423</v>
      </c>
      <c r="Q38" s="0" t="s">
        <v>124</v>
      </c>
    </row>
    <row r="39" customFormat="false" ht="12.8" hidden="false" customHeight="false" outlineLevel="0" collapsed="false">
      <c r="B39" s="0" t="n">
        <f aca="false">MC346A!A34</f>
        <v>155976</v>
      </c>
      <c r="C39" s="24"/>
      <c r="D39" s="24"/>
      <c r="E39" s="24"/>
      <c r="F39" s="49"/>
      <c r="G39" s="24"/>
      <c r="H39" s="24"/>
      <c r="I39" s="24"/>
      <c r="J39" s="24"/>
      <c r="K39" s="24"/>
      <c r="L39" s="24"/>
      <c r="N39" s="24"/>
      <c r="O39" s="24"/>
      <c r="P39" s="12"/>
    </row>
    <row r="40" customFormat="false" ht="12.8" hidden="false" customHeight="false" outlineLevel="0" collapsed="false">
      <c r="B40" s="0" t="n">
        <f aca="false">MC346A!A35</f>
        <v>156362</v>
      </c>
      <c r="C40" s="24"/>
      <c r="D40" s="24"/>
      <c r="E40" s="24"/>
      <c r="F40" s="49"/>
      <c r="G40" s="24"/>
      <c r="H40" s="24"/>
      <c r="I40" s="24"/>
      <c r="J40" s="24"/>
      <c r="K40" s="24"/>
      <c r="L40" s="24"/>
      <c r="N40" s="24"/>
      <c r="O40" s="24"/>
      <c r="P40" s="12"/>
    </row>
    <row r="41" customFormat="false" ht="12.8" hidden="false" customHeight="false" outlineLevel="0" collapsed="false">
      <c r="B41" s="0" t="n">
        <f aca="false">MC346A!A36</f>
        <v>156405</v>
      </c>
      <c r="C41" s="24"/>
      <c r="D41" s="24"/>
      <c r="E41" s="24"/>
      <c r="F41" s="49"/>
      <c r="G41" s="24"/>
      <c r="H41" s="24"/>
      <c r="I41" s="24"/>
      <c r="J41" s="24"/>
      <c r="K41" s="24"/>
      <c r="L41" s="24"/>
      <c r="N41" s="24"/>
      <c r="O41" s="24"/>
      <c r="P41" s="12"/>
    </row>
    <row r="42" customFormat="false" ht="12.8" hidden="false" customHeight="false" outlineLevel="0" collapsed="false">
      <c r="B42" s="0" t="n">
        <f aca="false">MC346A!A37</f>
        <v>158336</v>
      </c>
      <c r="C42" s="24"/>
      <c r="D42" s="24"/>
      <c r="E42" s="24"/>
      <c r="F42" s="49"/>
      <c r="G42" s="24"/>
      <c r="H42" s="24"/>
      <c r="I42" s="24"/>
      <c r="J42" s="24"/>
      <c r="K42" s="24"/>
      <c r="L42" s="24"/>
      <c r="N42" s="24"/>
      <c r="O42" s="24"/>
      <c r="P42" s="12"/>
    </row>
    <row r="43" customFormat="false" ht="12.8" hidden="false" customHeight="false" outlineLevel="0" collapsed="false">
      <c r="B43" s="0" t="n">
        <f aca="false">MC346A!A38</f>
        <v>160013</v>
      </c>
      <c r="C43" s="24"/>
      <c r="D43" s="24"/>
      <c r="E43" s="24"/>
      <c r="F43" s="49"/>
      <c r="G43" s="24"/>
      <c r="H43" s="24"/>
      <c r="I43" s="24"/>
      <c r="J43" s="24"/>
      <c r="K43" s="24"/>
      <c r="L43" s="24"/>
      <c r="N43" s="24"/>
      <c r="O43" s="24"/>
      <c r="P43" s="12"/>
    </row>
    <row r="44" customFormat="false" ht="12.8" hidden="false" customHeight="false" outlineLevel="0" collapsed="false">
      <c r="B44" s="0" t="n">
        <f aca="false">MC346A!A39</f>
        <v>160160</v>
      </c>
      <c r="C44" s="24"/>
      <c r="D44" s="24"/>
      <c r="E44" s="24"/>
      <c r="F44" s="49"/>
      <c r="G44" s="24"/>
      <c r="H44" s="24"/>
      <c r="I44" s="24"/>
      <c r="J44" s="24"/>
      <c r="K44" s="24"/>
      <c r="L44" s="24"/>
      <c r="N44" s="24"/>
      <c r="O44" s="24"/>
      <c r="P44" s="12"/>
    </row>
    <row r="45" customFormat="false" ht="12.8" hidden="false" customHeight="false" outlineLevel="0" collapsed="false">
      <c r="B45" s="0" t="n">
        <f aca="false">MC346A!A40</f>
        <v>164213</v>
      </c>
      <c r="C45" s="34" t="n">
        <v>43034.0815393519</v>
      </c>
      <c r="D45" s="24" t="n">
        <v>1.8</v>
      </c>
      <c r="E45" s="24" t="n">
        <v>360</v>
      </c>
      <c r="F45" s="49" t="n">
        <f aca="false">E45/180</f>
        <v>2</v>
      </c>
      <c r="G45" s="24" t="n">
        <v>3706</v>
      </c>
      <c r="H45" s="42" t="n">
        <f aca="false">G45/2/E45-1</f>
        <v>4.14722222222222</v>
      </c>
      <c r="I45" s="42" t="n">
        <f aca="false">I$4*(H$4+H$3)/(H45+H$3)</f>
        <v>3.00199973336888</v>
      </c>
      <c r="J45" s="24" t="n">
        <v>7</v>
      </c>
      <c r="K45" s="43" t="n">
        <f aca="false">J45/660</f>
        <v>0.0106060606060606</v>
      </c>
      <c r="L45" s="44" t="n">
        <f aca="false">L$4*(K$3+K$4)/(K$3+K45)</f>
        <v>0.996534653465346</v>
      </c>
      <c r="M45" s="48" t="n">
        <v>2</v>
      </c>
      <c r="N45" s="45" t="n">
        <f aca="false">MIN(10,D45+F45+I45+L45+M45)</f>
        <v>9.79853438683423</v>
      </c>
      <c r="O45" s="41" t="n">
        <f aca="false">IF(C$5&lt;C45,_xlfn.DAYS(C45,C$5),0)*0.2</f>
        <v>0.0164467592607252</v>
      </c>
      <c r="P45" s="12" t="n">
        <f aca="false">(1-O45)*N45</f>
        <v>9.63738025066603</v>
      </c>
      <c r="Q45" s="0" t="s">
        <v>125</v>
      </c>
    </row>
    <row r="46" customFormat="false" ht="12.8" hidden="false" customHeight="false" outlineLevel="0" collapsed="false">
      <c r="B46" s="0" t="n">
        <f aca="false">MC346A!A41</f>
        <v>164468</v>
      </c>
      <c r="C46" s="34" t="n">
        <v>43033.963125</v>
      </c>
      <c r="D46" s="24" t="n">
        <v>2</v>
      </c>
      <c r="E46" s="24" t="n">
        <v>360</v>
      </c>
      <c r="F46" s="49" t="n">
        <f aca="false">E46/180</f>
        <v>2</v>
      </c>
      <c r="G46" s="24" t="n">
        <v>3706</v>
      </c>
      <c r="H46" s="42" t="n">
        <f aca="false">G46/2/E46-1</f>
        <v>4.14722222222222</v>
      </c>
      <c r="I46" s="42" t="n">
        <f aca="false">I$4*(H$4+H$3)/(H46+H$3)</f>
        <v>3.00199973336888</v>
      </c>
      <c r="J46" s="24" t="n">
        <v>7</v>
      </c>
      <c r="K46" s="43" t="n">
        <f aca="false">J46/660</f>
        <v>0.0106060606060606</v>
      </c>
      <c r="L46" s="44" t="n">
        <f aca="false">L$4*(K$3+K$4)/(K$3+K46)</f>
        <v>0.996534653465346</v>
      </c>
      <c r="M46" s="48" t="n">
        <v>2</v>
      </c>
      <c r="N46" s="45" t="n">
        <f aca="false">MIN(10,D46+F46+I46+L46+M46)</f>
        <v>9.99853438683423</v>
      </c>
      <c r="O46" s="41" t="n">
        <f aca="false">IF(C$5&lt;C46,_xlfn.DAYS(C46,C$5),0)*0.2</f>
        <v>0</v>
      </c>
      <c r="P46" s="12" t="n">
        <f aca="false">(1-O46)*N46</f>
        <v>9.99853438683423</v>
      </c>
      <c r="Q46" s="0" t="s">
        <v>126</v>
      </c>
    </row>
    <row r="47" customFormat="false" ht="12.8" hidden="false" customHeight="false" outlineLevel="0" collapsed="false">
      <c r="B47" s="0" t="n">
        <f aca="false">MC346A!A42</f>
        <v>164700</v>
      </c>
      <c r="C47" s="24"/>
      <c r="D47" s="24"/>
      <c r="E47" s="24"/>
      <c r="F47" s="49"/>
      <c r="G47" s="24"/>
      <c r="H47" s="24"/>
      <c r="I47" s="24"/>
      <c r="J47" s="24"/>
      <c r="K47" s="24"/>
      <c r="L47" s="24"/>
      <c r="N47" s="24"/>
      <c r="O47" s="24"/>
      <c r="P47" s="12"/>
    </row>
    <row r="48" customFormat="false" ht="12.8" hidden="false" customHeight="false" outlineLevel="0" collapsed="false">
      <c r="B48" s="0" t="n">
        <f aca="false">MC346A!A43</f>
        <v>166082</v>
      </c>
      <c r="C48" s="24"/>
      <c r="D48" s="24"/>
      <c r="E48" s="24"/>
      <c r="F48" s="49"/>
      <c r="G48" s="24"/>
      <c r="H48" s="24"/>
      <c r="I48" s="24"/>
      <c r="J48" s="24"/>
      <c r="K48" s="24"/>
      <c r="L48" s="24"/>
      <c r="N48" s="24"/>
      <c r="O48" s="24"/>
      <c r="P48" s="12"/>
    </row>
    <row r="49" customFormat="false" ht="12.8" hidden="false" customHeight="false" outlineLevel="0" collapsed="false">
      <c r="B49" s="0" t="n">
        <f aca="false">MC346A!A44</f>
        <v>166213</v>
      </c>
      <c r="C49" s="34" t="n">
        <v>43034.0638888889</v>
      </c>
      <c r="D49" s="24" t="n">
        <v>1.8</v>
      </c>
      <c r="E49" s="24" t="n">
        <v>360</v>
      </c>
      <c r="F49" s="49" t="n">
        <f aca="false">E49/180</f>
        <v>2</v>
      </c>
      <c r="G49" s="24" t="n">
        <v>3752</v>
      </c>
      <c r="H49" s="42" t="n">
        <f aca="false">G49/2/E49-1</f>
        <v>4.21111111111111</v>
      </c>
      <c r="I49" s="42" t="n">
        <f aca="false">I$4*(H$4+H$3)/(H49+H$3)</f>
        <v>2.95667016806723</v>
      </c>
      <c r="J49" s="24" t="n">
        <v>9</v>
      </c>
      <c r="K49" s="43" t="n">
        <f aca="false">J49/660</f>
        <v>0.0136363636363636</v>
      </c>
      <c r="L49" s="44" t="n">
        <f aca="false">L$4*(K$3+K$4)/(K$3+K49)</f>
        <v>0.906756756756757</v>
      </c>
      <c r="M49" s="48" t="n">
        <v>2</v>
      </c>
      <c r="N49" s="45" t="n">
        <f aca="false">MIN(10,D49+F49+I49+L49+M49)</f>
        <v>9.66342692482398</v>
      </c>
      <c r="O49" s="41" t="n">
        <f aca="false">IF(C$5&lt;C49,_xlfn.DAYS(C49,C$5),0)*0.2</f>
        <v>0.0129166666607489</v>
      </c>
      <c r="P49" s="12" t="n">
        <f aca="false">(1-O49)*N49</f>
        <v>9.53860766043553</v>
      </c>
      <c r="Q49" s="0" t="s">
        <v>125</v>
      </c>
    </row>
    <row r="50" customFormat="false" ht="12.8" hidden="false" customHeight="false" outlineLevel="0" collapsed="false">
      <c r="B50" s="0" t="n">
        <f aca="false">MC346A!A45</f>
        <v>166249</v>
      </c>
      <c r="C50" s="34" t="n">
        <v>43033.8922337963</v>
      </c>
      <c r="D50" s="24" t="n">
        <v>1</v>
      </c>
      <c r="E50" s="24" t="n">
        <v>360</v>
      </c>
      <c r="F50" s="49" t="n">
        <f aca="false">E50/180</f>
        <v>2</v>
      </c>
      <c r="G50" s="24" t="n">
        <v>5090</v>
      </c>
      <c r="H50" s="42" t="n">
        <f aca="false">G50/2/E50-1</f>
        <v>6.06944444444444</v>
      </c>
      <c r="I50" s="42" t="n">
        <f aca="false">I$4*(H$4+H$3)/(H50+H$3)</f>
        <v>2.05437460085759</v>
      </c>
      <c r="J50" s="24" t="n">
        <v>7</v>
      </c>
      <c r="K50" s="43" t="n">
        <f aca="false">J50/660</f>
        <v>0.0106060606060606</v>
      </c>
      <c r="L50" s="44" t="n">
        <f aca="false">L$4*(K$3+K$4)/(K$3+K50)</f>
        <v>0.996534653465346</v>
      </c>
      <c r="M50" s="48" t="n">
        <v>2</v>
      </c>
      <c r="N50" s="45" t="n">
        <f aca="false">MIN(10,D50+F50+I50+L50+M50)</f>
        <v>8.05090925432293</v>
      </c>
      <c r="O50" s="41" t="n">
        <f aca="false">IF(C$5&lt;C50,_xlfn.DAYS(C50,C$5),0)*0.2</f>
        <v>0</v>
      </c>
      <c r="P50" s="12" t="n">
        <f aca="false">(1-O50)*N50</f>
        <v>8.05090925432293</v>
      </c>
      <c r="Q50" s="0" t="s">
        <v>127</v>
      </c>
    </row>
    <row r="51" customFormat="false" ht="12.8" hidden="false" customHeight="false" outlineLevel="0" collapsed="false">
      <c r="B51" s="0" t="n">
        <f aca="false">MC346A!A46</f>
        <v>168357</v>
      </c>
      <c r="C51" s="24"/>
      <c r="D51" s="24"/>
      <c r="E51" s="24"/>
      <c r="F51" s="49"/>
      <c r="G51" s="24"/>
      <c r="H51" s="24"/>
      <c r="I51" s="24"/>
      <c r="J51" s="24"/>
      <c r="K51" s="24"/>
      <c r="L51" s="24"/>
      <c r="N51" s="24"/>
      <c r="O51" s="24"/>
      <c r="P51" s="12"/>
    </row>
    <row r="52" customFormat="false" ht="12.8" hidden="false" customHeight="false" outlineLevel="0" collapsed="false">
      <c r="B52" s="0" t="n">
        <f aca="false">MC346A!A47</f>
        <v>168891</v>
      </c>
      <c r="C52" s="34" t="n">
        <v>43033.6534027778</v>
      </c>
      <c r="D52" s="24" t="n">
        <v>1.8</v>
      </c>
      <c r="E52" s="24" t="n">
        <v>360</v>
      </c>
      <c r="F52" s="49" t="n">
        <f aca="false">E52/180</f>
        <v>2</v>
      </c>
      <c r="G52" s="24" t="n">
        <v>3706</v>
      </c>
      <c r="H52" s="42" t="n">
        <f aca="false">G52/2/E52-1</f>
        <v>4.14722222222222</v>
      </c>
      <c r="I52" s="42" t="n">
        <f aca="false">I$4*(H$4+H$3)/(H52+H$3)</f>
        <v>3.00199973336888</v>
      </c>
      <c r="J52" s="24" t="n">
        <v>8</v>
      </c>
      <c r="K52" s="43" t="n">
        <f aca="false">J52/660</f>
        <v>0.0121212121212121</v>
      </c>
      <c r="L52" s="44" t="n">
        <f aca="false">L$4*(K$3+K$4)/(K$3+K52)</f>
        <v>0.949528301886793</v>
      </c>
      <c r="M52" s="48" t="n">
        <v>2</v>
      </c>
      <c r="N52" s="45" t="n">
        <f aca="false">MIN(10,D52+F52+I52+L52+M52)</f>
        <v>9.75152803525568</v>
      </c>
      <c r="O52" s="41" t="n">
        <f aca="false">IF(C$5&lt;C52,_xlfn.DAYS(C52,C$5),0)*0.2</f>
        <v>0</v>
      </c>
      <c r="P52" s="12" t="n">
        <f aca="false">(1-O52)*N52</f>
        <v>9.75152803525568</v>
      </c>
      <c r="Q52" s="0" t="s">
        <v>128</v>
      </c>
    </row>
    <row r="53" customFormat="false" ht="12.8" hidden="false" customHeight="false" outlineLevel="0" collapsed="false">
      <c r="B53" s="0" t="n">
        <f aca="false">MC346A!A48</f>
        <v>169621</v>
      </c>
      <c r="C53" s="34" t="n">
        <v>43033.8914930556</v>
      </c>
      <c r="D53" s="24" t="n">
        <v>0.8</v>
      </c>
      <c r="E53" s="24" t="n">
        <v>360</v>
      </c>
      <c r="F53" s="49" t="n">
        <f aca="false">E53/180</f>
        <v>2</v>
      </c>
      <c r="G53" s="24" t="n">
        <v>3706</v>
      </c>
      <c r="H53" s="42" t="n">
        <f aca="false">G53/2/E53-1</f>
        <v>4.14722222222222</v>
      </c>
      <c r="I53" s="42" t="n">
        <f aca="false">I$4*(H$4+H$3)/(H53+H$3)</f>
        <v>3.00199973336888</v>
      </c>
      <c r="J53" s="24" t="n">
        <f aca="false">9*60+41</f>
        <v>581</v>
      </c>
      <c r="K53" s="43" t="n">
        <f aca="false">J53/660</f>
        <v>0.88030303030303</v>
      </c>
      <c r="L53" s="44" t="n">
        <f aca="false">L$4*(K$3+K$4)/(K$3+K53)</f>
        <v>0.0338774823291821</v>
      </c>
      <c r="M53" s="48" t="n">
        <v>0.0866666666666667</v>
      </c>
      <c r="N53" s="45" t="n">
        <f aca="false">MIN(10,D53+F53+I53+L53+M53)</f>
        <v>5.92254388236473</v>
      </c>
      <c r="O53" s="41" t="n">
        <f aca="false">IF(C$5&lt;C53,_xlfn.DAYS(C53,C$5),0)*0.2</f>
        <v>0</v>
      </c>
      <c r="P53" s="12" t="n">
        <f aca="false">(1-O53)*N53</f>
        <v>5.92254388236473</v>
      </c>
      <c r="Q53" s="0" t="s">
        <v>129</v>
      </c>
    </row>
    <row r="54" customFormat="false" ht="12.8" hidden="false" customHeight="false" outlineLevel="0" collapsed="false">
      <c r="B54" s="0" t="n">
        <f aca="false">MC346A!A49</f>
        <v>169820</v>
      </c>
      <c r="C54" s="34" t="n">
        <v>43033.7616203704</v>
      </c>
      <c r="D54" s="24" t="n">
        <v>1.8</v>
      </c>
      <c r="E54" s="24" t="n">
        <v>360</v>
      </c>
      <c r="F54" s="49" t="n">
        <f aca="false">E54/180</f>
        <v>2</v>
      </c>
      <c r="G54" s="24" t="n">
        <v>3706</v>
      </c>
      <c r="H54" s="42" t="n">
        <f aca="false">G54/2/E54-1</f>
        <v>4.14722222222222</v>
      </c>
      <c r="I54" s="42" t="n">
        <f aca="false">I$4*(H$4+H$3)/(H54+H$3)</f>
        <v>3.00199973336888</v>
      </c>
      <c r="J54" s="24" t="n">
        <v>8</v>
      </c>
      <c r="K54" s="43" t="n">
        <f aca="false">J54/660</f>
        <v>0.0121212121212121</v>
      </c>
      <c r="L54" s="44" t="n">
        <f aca="false">L$4*(K$3+K$4)/(K$3+K54)</f>
        <v>0.949528301886793</v>
      </c>
      <c r="M54" s="48" t="n">
        <v>2</v>
      </c>
      <c r="N54" s="45" t="n">
        <f aca="false">MIN(10,D54+F54+I54+L54+M54)</f>
        <v>9.75152803525568</v>
      </c>
      <c r="O54" s="41" t="n">
        <f aca="false">IF(C$5&lt;C54,_xlfn.DAYS(C54,C$5),0)*0.2</f>
        <v>0</v>
      </c>
      <c r="P54" s="12" t="n">
        <f aca="false">(1-O54)*N54</f>
        <v>9.75152803525568</v>
      </c>
      <c r="Q54" s="0" t="s">
        <v>130</v>
      </c>
    </row>
    <row r="55" customFormat="false" ht="12.8" hidden="false" customHeight="false" outlineLevel="0" collapsed="false">
      <c r="B55" s="0" t="n">
        <f aca="false">MC346A!A50</f>
        <v>170207</v>
      </c>
      <c r="C55" s="34" t="n">
        <v>43033.0146527778</v>
      </c>
      <c r="D55" s="24" t="n">
        <v>1.9</v>
      </c>
      <c r="E55" s="24" t="n">
        <v>360</v>
      </c>
      <c r="F55" s="49" t="n">
        <f aca="false">E55/180</f>
        <v>2</v>
      </c>
      <c r="G55" s="24" t="n">
        <v>3706</v>
      </c>
      <c r="H55" s="42" t="n">
        <f aca="false">G55/2/E55-1</f>
        <v>4.14722222222222</v>
      </c>
      <c r="I55" s="42" t="n">
        <f aca="false">I$4*(H$4+H$3)/(H55+H$3)</f>
        <v>3.00199973336888</v>
      </c>
      <c r="J55" s="24" t="n">
        <v>8</v>
      </c>
      <c r="K55" s="43" t="n">
        <f aca="false">J55/660</f>
        <v>0.0121212121212121</v>
      </c>
      <c r="L55" s="44" t="n">
        <f aca="false">L$4*(K$3+K$4)/(K$3+K55)</f>
        <v>0.949528301886793</v>
      </c>
      <c r="M55" s="48" t="n">
        <v>2</v>
      </c>
      <c r="N55" s="45" t="n">
        <f aca="false">MIN(10,D55+F55+I55+L55+M55)</f>
        <v>9.85152803525568</v>
      </c>
      <c r="O55" s="41" t="n">
        <f aca="false">IF(C$5&lt;C55,_xlfn.DAYS(C55,C$5),0)*0.2</f>
        <v>0</v>
      </c>
      <c r="P55" s="12" t="n">
        <f aca="false">(1-O55)*N55</f>
        <v>9.85152803525568</v>
      </c>
      <c r="Q55" s="0" t="s">
        <v>131</v>
      </c>
    </row>
    <row r="56" customFormat="false" ht="12.8" hidden="false" customHeight="false" outlineLevel="0" collapsed="false">
      <c r="B56" s="0" t="n">
        <f aca="false">MC346A!A51</f>
        <v>170710</v>
      </c>
      <c r="C56" s="34" t="n">
        <v>43034.9863078704</v>
      </c>
      <c r="D56" s="24" t="n">
        <v>1.1</v>
      </c>
      <c r="E56" s="24" t="n">
        <v>360</v>
      </c>
      <c r="F56" s="49" t="n">
        <f aca="false">E56/180</f>
        <v>2</v>
      </c>
      <c r="G56" s="24" t="n">
        <v>3636</v>
      </c>
      <c r="H56" s="42" t="n">
        <f aca="false">G56/2/E56-1</f>
        <v>4.05</v>
      </c>
      <c r="I56" s="42" t="n">
        <f aca="false">I$4*(H$4+H$3)/(H56+H$3)</f>
        <v>3.07371007371007</v>
      </c>
      <c r="J56" s="24" t="n">
        <v>41</v>
      </c>
      <c r="K56" s="43" t="n">
        <f aca="false">J56/660</f>
        <v>0.0621212121212121</v>
      </c>
      <c r="L56" s="44" t="n">
        <f aca="false">L$4*(K$3+K$4)/(K$3+K56)</f>
        <v>0.37140221402214</v>
      </c>
      <c r="M56" s="48" t="n">
        <v>2</v>
      </c>
      <c r="N56" s="45" t="n">
        <f aca="false">MIN(10,D56+F56+I56+L56+M56)</f>
        <v>8.54511228773221</v>
      </c>
      <c r="O56" s="41" t="n">
        <f aca="false">IF(C$5&lt;C56,_xlfn.DAYS(C56,C$5),0)*0.2</f>
        <v>0.19740046296065</v>
      </c>
      <c r="P56" s="12" t="n">
        <f aca="false">(1-O56)*N56-1</f>
        <v>5.85830316608314</v>
      </c>
      <c r="Q56" s="0" t="s">
        <v>132</v>
      </c>
    </row>
    <row r="57" customFormat="false" ht="12.8" hidden="false" customHeight="false" outlineLevel="0" collapsed="false">
      <c r="B57" s="0" t="n">
        <f aca="false">MC346A!A52</f>
        <v>171866</v>
      </c>
      <c r="C57" s="34" t="n">
        <v>43028.8030671296</v>
      </c>
      <c r="D57" s="24" t="n">
        <v>2</v>
      </c>
      <c r="E57" s="24" t="n">
        <v>360</v>
      </c>
      <c r="F57" s="49" t="n">
        <f aca="false">E57/180</f>
        <v>2</v>
      </c>
      <c r="G57" s="24" t="n">
        <v>3712</v>
      </c>
      <c r="H57" s="42" t="n">
        <f aca="false">G57/2/E57-1</f>
        <v>4.15555555555556</v>
      </c>
      <c r="I57" s="42" t="n">
        <f aca="false">I$4*(H$4+H$3)/(H57+H$3)</f>
        <v>2.99600851516764</v>
      </c>
      <c r="J57" s="24" t="n">
        <v>7</v>
      </c>
      <c r="K57" s="43" t="n">
        <f aca="false">J57/660</f>
        <v>0.0106060606060606</v>
      </c>
      <c r="L57" s="44" t="n">
        <f aca="false">L$4*(K$3+K$4)/(K$3+K57)</f>
        <v>0.996534653465346</v>
      </c>
      <c r="M57" s="48" t="n">
        <v>2</v>
      </c>
      <c r="N57" s="45" t="n">
        <f aca="false">MIN(10,D57+F57+I57+L57+M57)</f>
        <v>9.99254316863299</v>
      </c>
      <c r="O57" s="41" t="n">
        <f aca="false">IF(C$5&lt;C57,_xlfn.DAYS(C57,C$5),0)*0.2</f>
        <v>0</v>
      </c>
      <c r="P57" s="12" t="n">
        <f aca="false">(1-O57)*N57</f>
        <v>9.99254316863299</v>
      </c>
      <c r="Q57" s="0" t="s">
        <v>133</v>
      </c>
    </row>
    <row r="58" customFormat="false" ht="12.8" hidden="false" customHeight="false" outlineLevel="0" collapsed="false">
      <c r="B58" s="0" t="n">
        <f aca="false">MC346A!A53</f>
        <v>172017</v>
      </c>
      <c r="C58" s="34" t="n">
        <v>43034.8740046296</v>
      </c>
      <c r="D58" s="24" t="n">
        <v>0.6</v>
      </c>
      <c r="E58" s="24" t="n">
        <v>360</v>
      </c>
      <c r="F58" s="49" t="n">
        <f aca="false">E58/180</f>
        <v>2</v>
      </c>
      <c r="G58" s="24" t="n">
        <v>3712</v>
      </c>
      <c r="H58" s="42" t="n">
        <f aca="false">G58/2/E58-1</f>
        <v>4.15555555555556</v>
      </c>
      <c r="I58" s="42" t="n">
        <f aca="false">I$4*(H$4+H$3)/(H58+H$3)</f>
        <v>2.99600851516764</v>
      </c>
      <c r="J58" s="24" t="n">
        <v>500</v>
      </c>
      <c r="K58" s="43" t="n">
        <f aca="false">J58/660</f>
        <v>0.757575757575758</v>
      </c>
      <c r="L58" s="44" t="n">
        <f aca="false">L$4*(K$3+K$4)/(K$3+K58)</f>
        <v>0.0392244738893219</v>
      </c>
      <c r="M58" s="48" t="n">
        <v>0</v>
      </c>
      <c r="N58" s="45" t="n">
        <f aca="false">MIN(10,D58+F58+I58+L58+M58)</f>
        <v>5.63523298905696</v>
      </c>
      <c r="O58" s="41" t="n">
        <f aca="false">IF(C$5&lt;C58,_xlfn.DAYS(C58,C$5),0)*0.2</f>
        <v>0.174939814800746</v>
      </c>
      <c r="P58" s="12" t="n">
        <f aca="false">(1-O58)*N58-1</f>
        <v>3.64940637359229</v>
      </c>
      <c r="Q58" s="0" t="s">
        <v>134</v>
      </c>
    </row>
    <row r="59" customFormat="false" ht="12.8" hidden="false" customHeight="false" outlineLevel="0" collapsed="false">
      <c r="B59" s="0" t="n">
        <f aca="false">MC346A!A54</f>
        <v>172519</v>
      </c>
      <c r="C59" s="34" t="n">
        <v>43037.1243402778</v>
      </c>
      <c r="D59" s="24" t="n">
        <v>1</v>
      </c>
      <c r="E59" s="24" t="n">
        <v>114</v>
      </c>
      <c r="F59" s="49" t="n">
        <f aca="false">E59/180</f>
        <v>0.633333333333333</v>
      </c>
      <c r="G59" s="24" t="n">
        <v>6984</v>
      </c>
      <c r="H59" s="42" t="n">
        <f aca="false">G59/2/E59-1</f>
        <v>29.6315789473684</v>
      </c>
      <c r="I59" s="42" t="n">
        <f aca="false">I$4*(H$4+H$3)/(H59+H$3)</f>
        <v>0.42189996094998</v>
      </c>
      <c r="J59" s="24" t="n">
        <v>14</v>
      </c>
      <c r="K59" s="43" t="n">
        <f aca="false">J59/660</f>
        <v>0.0212121212121212</v>
      </c>
      <c r="L59" s="44" t="n">
        <f aca="false">L$4*(K$3+K$4)/(K$3+K59)</f>
        <v>0.740073529411765</v>
      </c>
      <c r="M59" s="48" t="n">
        <v>2</v>
      </c>
      <c r="N59" s="45" t="n">
        <f aca="false">MIN(10,D59+F59+I59+L59+M59)</f>
        <v>4.79530682369508</v>
      </c>
      <c r="O59" s="41" t="n">
        <f aca="false">IF(C$5&lt;C59,_xlfn.DAYS(C59,C$5),0)*0.2</f>
        <v>0.625006944440247</v>
      </c>
      <c r="P59" s="12" t="n">
        <f aca="false">(1-O59)*N59</f>
        <v>1.79820675816395</v>
      </c>
      <c r="Q59" s="0" t="s">
        <v>135</v>
      </c>
    </row>
    <row r="60" customFormat="false" ht="12.8" hidden="false" customHeight="false" outlineLevel="0" collapsed="false">
      <c r="B60" s="0" t="n">
        <f aca="false">MC346A!A55</f>
        <v>172608</v>
      </c>
      <c r="C60" s="34" t="n">
        <v>43033.8528009259</v>
      </c>
      <c r="D60" s="24" t="n">
        <v>1.6</v>
      </c>
      <c r="E60" s="24" t="n">
        <v>360</v>
      </c>
      <c r="F60" s="49" t="n">
        <f aca="false">E60/180</f>
        <v>2</v>
      </c>
      <c r="G60" s="24" t="n">
        <v>3706</v>
      </c>
      <c r="H60" s="42" t="n">
        <f aca="false">G60/2/E60-1</f>
        <v>4.14722222222222</v>
      </c>
      <c r="I60" s="42" t="n">
        <f aca="false">I$4*(H$4+H$3)/(H60+H$3)</f>
        <v>3.00199973336888</v>
      </c>
      <c r="J60" s="24" t="n">
        <v>9</v>
      </c>
      <c r="K60" s="43" t="n">
        <f aca="false">J60/660</f>
        <v>0.0136363636363636</v>
      </c>
      <c r="L60" s="44" t="n">
        <f aca="false">L$4*(K$3+K$4)/(K$3+K60)</f>
        <v>0.906756756756757</v>
      </c>
      <c r="M60" s="48" t="n">
        <v>2</v>
      </c>
      <c r="N60" s="45" t="n">
        <f aca="false">MIN(10,D60+F60+I60+L60+M60)</f>
        <v>9.50875649012564</v>
      </c>
      <c r="O60" s="41" t="n">
        <f aca="false">IF(C$5&lt;C60,_xlfn.DAYS(C60,C$5),0)*0.2</f>
        <v>0</v>
      </c>
      <c r="P60" s="12" t="n">
        <f aca="false">(1-O60)*N60</f>
        <v>9.50875649012564</v>
      </c>
      <c r="Q60" s="0" t="s">
        <v>136</v>
      </c>
    </row>
    <row r="61" customFormat="false" ht="12.8" hidden="false" customHeight="false" outlineLevel="0" collapsed="false">
      <c r="B61" s="0" t="n">
        <f aca="false">MC346A!A56</f>
        <v>172655</v>
      </c>
      <c r="C61" s="34" t="n">
        <v>43030.9193287037</v>
      </c>
      <c r="D61" s="24" t="n">
        <v>1.8</v>
      </c>
      <c r="E61" s="24" t="n">
        <v>360</v>
      </c>
      <c r="F61" s="49" t="n">
        <f aca="false">E61/180</f>
        <v>2</v>
      </c>
      <c r="G61" s="24" t="n">
        <v>3706</v>
      </c>
      <c r="H61" s="42" t="n">
        <f aca="false">G61/2/E61-1</f>
        <v>4.14722222222222</v>
      </c>
      <c r="I61" s="42" t="n">
        <f aca="false">I$4*(H$4+H$3)/(H61+H$3)</f>
        <v>3.00199973336888</v>
      </c>
      <c r="J61" s="24" t="n">
        <v>8</v>
      </c>
      <c r="K61" s="43" t="n">
        <f aca="false">J61/660</f>
        <v>0.0121212121212121</v>
      </c>
      <c r="L61" s="44" t="n">
        <f aca="false">L$4*(K$3+K$4)/(K$3+K61)</f>
        <v>0.949528301886793</v>
      </c>
      <c r="M61" s="48" t="n">
        <v>2</v>
      </c>
      <c r="N61" s="45" t="n">
        <f aca="false">MIN(10,D61+F61+I61+L61+M61)</f>
        <v>9.75152803525568</v>
      </c>
      <c r="O61" s="41" t="n">
        <f aca="false">IF(C$5&lt;C61,_xlfn.DAYS(C61,C$5),0)*0.2</f>
        <v>0</v>
      </c>
      <c r="P61" s="12" t="n">
        <f aca="false">(1-O61)*N61</f>
        <v>9.75152803525568</v>
      </c>
      <c r="Q61" s="0" t="s">
        <v>137</v>
      </c>
    </row>
    <row r="62" customFormat="false" ht="12.8" hidden="false" customHeight="false" outlineLevel="0" collapsed="false">
      <c r="B62" s="0" t="n">
        <f aca="false">MC346A!A57</f>
        <v>173728</v>
      </c>
      <c r="C62" s="24"/>
      <c r="D62" s="24"/>
      <c r="E62" s="24"/>
      <c r="F62" s="49"/>
      <c r="G62" s="24"/>
      <c r="H62" s="24"/>
      <c r="I62" s="24"/>
      <c r="J62" s="24"/>
      <c r="K62" s="24"/>
      <c r="L62" s="24"/>
      <c r="N62" s="24"/>
      <c r="O62" s="24"/>
      <c r="P62" s="12"/>
    </row>
    <row r="63" customFormat="false" ht="12.8" hidden="false" customHeight="false" outlineLevel="0" collapsed="false">
      <c r="B63" s="0" t="n">
        <f aca="false">MC346A!A58</f>
        <v>174233</v>
      </c>
      <c r="C63" s="34" t="n">
        <v>43033.9295486111</v>
      </c>
      <c r="D63" s="24" t="n">
        <v>1.7</v>
      </c>
      <c r="E63" s="24" t="n">
        <v>360</v>
      </c>
      <c r="F63" s="49" t="n">
        <v>2</v>
      </c>
      <c r="G63" s="24" t="n">
        <v>3736</v>
      </c>
      <c r="H63" s="42" t="n">
        <f aca="false">G63/2/E63-1</f>
        <v>4.18888888888889</v>
      </c>
      <c r="I63" s="42" t="n">
        <f aca="false">I$4*(H$4+H$3)/(H63+H$3)</f>
        <v>2.97228088701162</v>
      </c>
      <c r="J63" s="24" t="n">
        <v>9</v>
      </c>
      <c r="K63" s="43" t="n">
        <f aca="false">J63/660</f>
        <v>0.0136363636363636</v>
      </c>
      <c r="L63" s="44" t="n">
        <f aca="false">L$4*(K$3+K$4)/(K$3+K63)</f>
        <v>0.906756756756757</v>
      </c>
      <c r="M63" s="48" t="n">
        <v>2</v>
      </c>
      <c r="N63" s="45" t="n">
        <f aca="false">MIN(10,D63+F63+I63+L63+M63)</f>
        <v>9.57903764376837</v>
      </c>
      <c r="O63" s="41" t="n">
        <f aca="false">IF(C$5&lt;C63,_xlfn.DAYS(C63,C$5),0)*0.2</f>
        <v>0</v>
      </c>
      <c r="P63" s="12" t="n">
        <f aca="false">(1-O63)*N63</f>
        <v>9.57903764376837</v>
      </c>
      <c r="Q63" s="0" t="s">
        <v>138</v>
      </c>
    </row>
    <row r="64" customFormat="false" ht="12.8" hidden="false" customHeight="false" outlineLevel="0" collapsed="false">
      <c r="B64" s="0" t="n">
        <f aca="false">MC346A!A59</f>
        <v>174847</v>
      </c>
      <c r="C64" s="24"/>
      <c r="D64" s="24"/>
      <c r="E64" s="24"/>
      <c r="F64" s="49"/>
      <c r="G64" s="24"/>
      <c r="H64" s="24"/>
      <c r="I64" s="24"/>
      <c r="J64" s="24"/>
      <c r="K64" s="24"/>
      <c r="L64" s="24"/>
      <c r="N64" s="24"/>
      <c r="O64" s="24"/>
      <c r="P64" s="12"/>
    </row>
    <row r="65" customFormat="false" ht="12.8" hidden="false" customHeight="false" outlineLevel="0" collapsed="false">
      <c r="B65" s="0" t="n">
        <f aca="false">MC346A!A60</f>
        <v>175828</v>
      </c>
      <c r="C65" s="34" t="n">
        <v>43033.6768171296</v>
      </c>
      <c r="D65" s="24" t="n">
        <v>1.2</v>
      </c>
      <c r="E65" s="24" t="n">
        <v>360</v>
      </c>
      <c r="F65" s="49" t="n">
        <v>2</v>
      </c>
      <c r="G65" s="24" t="n">
        <v>6162</v>
      </c>
      <c r="H65" s="42" t="n">
        <f aca="false">G65/2/E65-1</f>
        <v>7.55833333333333</v>
      </c>
      <c r="I65" s="42" t="n">
        <f aca="false">I$4*(H$4+H$3)/(H65+H$3)</f>
        <v>1.65075874202771</v>
      </c>
      <c r="J65" s="24" t="n">
        <v>8</v>
      </c>
      <c r="K65" s="43" t="n">
        <f aca="false">J65/660</f>
        <v>0.0121212121212121</v>
      </c>
      <c r="L65" s="44" t="n">
        <f aca="false">L$4*(K$3+K$4)/(K$3+K65)</f>
        <v>0.949528301886793</v>
      </c>
      <c r="M65" s="48" t="n">
        <v>2</v>
      </c>
      <c r="N65" s="45" t="n">
        <f aca="false">MIN(10,D65+F65+I65+L65+M65)</f>
        <v>7.8002870439145</v>
      </c>
      <c r="O65" s="41" t="n">
        <f aca="false">IF(C$5&lt;C65,_xlfn.DAYS(C65,C$5),0)*0.2</f>
        <v>0</v>
      </c>
      <c r="P65" s="12" t="n">
        <f aca="false">(1-O65)*N65</f>
        <v>7.8002870439145</v>
      </c>
      <c r="Q65" s="0" t="s">
        <v>139</v>
      </c>
    </row>
    <row r="66" customFormat="false" ht="12.8" hidden="false" customHeight="false" outlineLevel="0" collapsed="false">
      <c r="B66" s="0" t="n">
        <f aca="false">MC346A!A61</f>
        <v>175955</v>
      </c>
      <c r="C66" s="24"/>
      <c r="D66" s="24"/>
      <c r="E66" s="24"/>
      <c r="F66" s="49"/>
      <c r="G66" s="24"/>
      <c r="H66" s="24"/>
      <c r="I66" s="24"/>
      <c r="J66" s="24"/>
      <c r="K66" s="24"/>
      <c r="L66" s="24"/>
      <c r="N66" s="24"/>
      <c r="O66" s="24"/>
      <c r="P66" s="12"/>
    </row>
    <row r="67" customFormat="false" ht="12.8" hidden="false" customHeight="false" outlineLevel="0" collapsed="false">
      <c r="B67" s="0" t="n">
        <f aca="false">MC346A!A62</f>
        <v>176081</v>
      </c>
      <c r="C67" s="34" t="n">
        <v>43030.9590625</v>
      </c>
      <c r="D67" s="24" t="n">
        <v>1.6</v>
      </c>
      <c r="E67" s="24" t="n">
        <v>360</v>
      </c>
      <c r="F67" s="49" t="n">
        <v>2</v>
      </c>
      <c r="G67" s="24" t="n">
        <v>3688</v>
      </c>
      <c r="H67" s="42" t="n">
        <f aca="false">G67/2/E67-1</f>
        <v>4.12222222222222</v>
      </c>
      <c r="I67" s="42" t="n">
        <f aca="false">I$4*(H$4+H$3)/(H67+H$3)</f>
        <v>3.02011802575107</v>
      </c>
      <c r="J67" s="24" t="n">
        <v>8</v>
      </c>
      <c r="K67" s="43" t="n">
        <f aca="false">J67/660</f>
        <v>0.0121212121212121</v>
      </c>
      <c r="L67" s="44" t="n">
        <f aca="false">L$4*(K$3+K$4)/(K$3+K67)</f>
        <v>0.949528301886793</v>
      </c>
      <c r="M67" s="48" t="n">
        <v>2</v>
      </c>
      <c r="N67" s="45" t="n">
        <f aca="false">MIN(10,D67+F67+I67+L67+M67)</f>
        <v>9.56964632763787</v>
      </c>
      <c r="O67" s="41" t="n">
        <f aca="false">IF(C$5&lt;C67,_xlfn.DAYS(C67,C$5),0)*0.2</f>
        <v>0</v>
      </c>
      <c r="P67" s="12" t="n">
        <f aca="false">(1-O67)*N67</f>
        <v>9.56964632763787</v>
      </c>
      <c r="Q67" s="0" t="s">
        <v>140</v>
      </c>
    </row>
    <row r="68" customFormat="false" ht="12.8" hidden="false" customHeight="false" outlineLevel="0" collapsed="false">
      <c r="B68" s="0" t="n">
        <f aca="false">MC346A!A63</f>
        <v>176127</v>
      </c>
      <c r="C68" s="34" t="n">
        <v>43023.6816666667</v>
      </c>
      <c r="D68" s="24" t="n">
        <v>2</v>
      </c>
      <c r="E68" s="24" t="n">
        <v>360</v>
      </c>
      <c r="F68" s="49" t="n">
        <v>2</v>
      </c>
      <c r="G68" s="24" t="n">
        <v>3706</v>
      </c>
      <c r="H68" s="42" t="n">
        <f aca="false">G68/2/E68-1</f>
        <v>4.14722222222222</v>
      </c>
      <c r="I68" s="42" t="n">
        <f aca="false">I$4*(H$4+H$3)/(H68+H$3)</f>
        <v>3.00199973336888</v>
      </c>
      <c r="J68" s="24" t="n">
        <v>7</v>
      </c>
      <c r="K68" s="43" t="n">
        <f aca="false">J68/660</f>
        <v>0.0106060606060606</v>
      </c>
      <c r="L68" s="44" t="n">
        <f aca="false">L$4*(K$3+K$4)/(K$3+K68)</f>
        <v>0.996534653465346</v>
      </c>
      <c r="M68" s="48" t="n">
        <v>2</v>
      </c>
      <c r="N68" s="45" t="n">
        <f aca="false">MIN(10,D68+F68+I68+L68+M68)</f>
        <v>9.99853438683423</v>
      </c>
      <c r="O68" s="41" t="n">
        <f aca="false">IF(C$5&lt;C68,_xlfn.DAYS(C68,C$5),0)*0.2</f>
        <v>0</v>
      </c>
      <c r="P68" s="12" t="n">
        <f aca="false">(1-O68)*N68</f>
        <v>9.99853438683423</v>
      </c>
      <c r="Q68" s="0" t="s">
        <v>141</v>
      </c>
    </row>
    <row r="69" customFormat="false" ht="12.8" hidden="false" customHeight="false" outlineLevel="0" collapsed="false">
      <c r="B69" s="0" t="n">
        <f aca="false">MC346A!A64</f>
        <v>177065</v>
      </c>
      <c r="C69" s="34" t="n">
        <v>43033.8309490741</v>
      </c>
      <c r="D69" s="24" t="n">
        <v>1.7</v>
      </c>
      <c r="E69" s="24" t="n">
        <v>360</v>
      </c>
      <c r="F69" s="49" t="n">
        <v>2</v>
      </c>
      <c r="G69" s="24" t="n">
        <v>3706</v>
      </c>
      <c r="H69" s="42" t="n">
        <f aca="false">G69/2/E69-1</f>
        <v>4.14722222222222</v>
      </c>
      <c r="I69" s="42" t="n">
        <f aca="false">I$4*(H$4+H$3)/(H69+H$3)</f>
        <v>3.00199973336888</v>
      </c>
      <c r="J69" s="24" t="n">
        <f aca="false">9*60+41</f>
        <v>581</v>
      </c>
      <c r="K69" s="43" t="n">
        <f aca="false">J69/660</f>
        <v>0.88030303030303</v>
      </c>
      <c r="L69" s="44" t="n">
        <f aca="false">L$4*(K$3+K$4)/(K$3+K69)</f>
        <v>0.0338774823291821</v>
      </c>
      <c r="M69" s="48" t="n">
        <v>0.0866666666666667</v>
      </c>
      <c r="N69" s="45" t="n">
        <f aca="false">MIN(10,D69+F69+I69+L69+M69)</f>
        <v>6.82254388236473</v>
      </c>
      <c r="O69" s="41" t="n">
        <f aca="false">IF(C$5&lt;C69,_xlfn.DAYS(C69,C$5),0)*0.2</f>
        <v>0</v>
      </c>
      <c r="P69" s="12" t="n">
        <f aca="false">(1-O69)*N69</f>
        <v>6.82254388236473</v>
      </c>
      <c r="Q69" s="0" t="s">
        <v>142</v>
      </c>
    </row>
    <row r="70" customFormat="false" ht="12.8" hidden="false" customHeight="false" outlineLevel="0" collapsed="false">
      <c r="B70" s="0" t="n">
        <f aca="false">MC346A!A65</f>
        <v>177677</v>
      </c>
      <c r="C70" s="34" t="n">
        <v>43033.6455902778</v>
      </c>
      <c r="D70" s="24" t="n">
        <v>1.7</v>
      </c>
      <c r="E70" s="24" t="n">
        <v>360</v>
      </c>
      <c r="F70" s="49" t="n">
        <v>2</v>
      </c>
      <c r="G70" s="24" t="n">
        <v>8070</v>
      </c>
      <c r="H70" s="42" t="n">
        <f aca="false">G70/2/E70-1</f>
        <v>10.2083333333333</v>
      </c>
      <c r="I70" s="42" t="n">
        <f aca="false">I$4*(H$4+H$3)/(H70+H$3)</f>
        <v>1.22307316278312</v>
      </c>
      <c r="J70" s="24" t="n">
        <f aca="false">8*60+12</f>
        <v>492</v>
      </c>
      <c r="K70" s="43" t="n">
        <f aca="false">J70/660</f>
        <v>0.745454545454545</v>
      </c>
      <c r="L70" s="44" t="n">
        <f aca="false">L$4*(K$3+K$4)/(K$3+K70)</f>
        <v>0.0398456057007126</v>
      </c>
      <c r="M70" s="48" t="n">
        <v>0.38</v>
      </c>
      <c r="N70" s="45" t="n">
        <f aca="false">MIN(10,D70+F70+I70+L70+M70)</f>
        <v>5.34291876848383</v>
      </c>
      <c r="O70" s="41" t="n">
        <f aca="false">IF(C$5&lt;C70,_xlfn.DAYS(C70,C$5),0)*0.2</f>
        <v>0</v>
      </c>
      <c r="P70" s="12" t="n">
        <f aca="false">(1-O70)*N70</f>
        <v>5.34291876848383</v>
      </c>
      <c r="Q70" s="0" t="s">
        <v>143</v>
      </c>
    </row>
    <row r="71" customFormat="false" ht="12.8" hidden="false" customHeight="false" outlineLevel="0" collapsed="false">
      <c r="B71" s="0" t="n">
        <f aca="false">MC346A!A66</f>
        <v>178018</v>
      </c>
      <c r="C71" s="34" t="n">
        <v>43034.0052662037</v>
      </c>
      <c r="D71" s="24" t="n">
        <v>1.6</v>
      </c>
      <c r="E71" s="24" t="n">
        <v>360</v>
      </c>
      <c r="F71" s="49" t="n">
        <v>2</v>
      </c>
      <c r="G71" s="24" t="n">
        <v>3706</v>
      </c>
      <c r="H71" s="42" t="n">
        <f aca="false">G71/2/E71-1</f>
        <v>4.14722222222222</v>
      </c>
      <c r="I71" s="42" t="n">
        <f aca="false">I$4*(H$4+H$3)/(H71+H$3)</f>
        <v>3.00199973336888</v>
      </c>
      <c r="J71" s="24" t="n">
        <v>8</v>
      </c>
      <c r="K71" s="43" t="n">
        <f aca="false">J71/660</f>
        <v>0.0121212121212121</v>
      </c>
      <c r="L71" s="44" t="n">
        <f aca="false">L$4*(K$3+K$4)/(K$3+K71)</f>
        <v>0.949528301886793</v>
      </c>
      <c r="M71" s="48" t="n">
        <v>2</v>
      </c>
      <c r="N71" s="45" t="n">
        <f aca="false">MIN(10,D71+F71+I71+L71+M71)</f>
        <v>9.55152803525568</v>
      </c>
      <c r="O71" s="41" t="n">
        <f aca="false">IF(C$5&lt;C71,_xlfn.DAYS(C71,C$5),0)*0.2</f>
        <v>0.00119212962017627</v>
      </c>
      <c r="P71" s="12" t="n">
        <f aca="false">(1-O71)*N71</f>
        <v>9.54014137576691</v>
      </c>
      <c r="Q71" s="0" t="s">
        <v>144</v>
      </c>
    </row>
    <row r="72" customFormat="false" ht="12.8" hidden="false" customHeight="false" outlineLevel="0" collapsed="false">
      <c r="B72" s="0" t="n">
        <f aca="false">MC346A!A67</f>
        <v>178183</v>
      </c>
      <c r="C72" s="34" t="n">
        <v>43032.7438310185</v>
      </c>
      <c r="D72" s="24" t="n">
        <v>1.8</v>
      </c>
      <c r="E72" s="24" t="n">
        <v>360</v>
      </c>
      <c r="F72" s="49" t="n">
        <v>2</v>
      </c>
      <c r="G72" s="24" t="n">
        <v>3706</v>
      </c>
      <c r="H72" s="42" t="n">
        <f aca="false">G72/2/E72-1</f>
        <v>4.14722222222222</v>
      </c>
      <c r="I72" s="42" t="n">
        <f aca="false">I$4*(H$4+H$3)/(H72+H$3)</f>
        <v>3.00199973336888</v>
      </c>
      <c r="J72" s="24" t="n">
        <v>8</v>
      </c>
      <c r="K72" s="43" t="n">
        <f aca="false">J72/660</f>
        <v>0.0121212121212121</v>
      </c>
      <c r="L72" s="44" t="n">
        <f aca="false">L$4*(K$3+K$4)/(K$3+K72)</f>
        <v>0.949528301886793</v>
      </c>
      <c r="M72" s="48" t="n">
        <v>2</v>
      </c>
      <c r="N72" s="45" t="n">
        <f aca="false">MIN(10,D72+F72+I72+L72+M72)</f>
        <v>9.75152803525568</v>
      </c>
      <c r="O72" s="41" t="n">
        <f aca="false">IF(C$5&lt;C72,_xlfn.DAYS(C72,C$5),0)*0.2</f>
        <v>0</v>
      </c>
      <c r="P72" s="12" t="n">
        <f aca="false">(1-O72)*N72</f>
        <v>9.75152803525568</v>
      </c>
      <c r="Q72" s="0" t="s">
        <v>145</v>
      </c>
    </row>
    <row r="73" customFormat="false" ht="12.8" hidden="false" customHeight="false" outlineLevel="0" collapsed="false">
      <c r="B73" s="0" t="n">
        <f aca="false">MC346A!A68</f>
        <v>951431</v>
      </c>
      <c r="C73" s="24"/>
      <c r="D73" s="24"/>
      <c r="E73" s="24"/>
      <c r="F73" s="49"/>
      <c r="G73" s="24"/>
      <c r="H73" s="24"/>
      <c r="I73" s="24"/>
      <c r="J73" s="24"/>
      <c r="K73" s="24"/>
      <c r="L73" s="24"/>
      <c r="N73" s="24"/>
      <c r="O73" s="24"/>
      <c r="P73" s="12"/>
    </row>
  </sheetData>
  <conditionalFormatting sqref="P7">
    <cfRule type="colorScale" priority="2">
      <colorScale>
        <cfvo type="formula" val="&lt;5"/>
        <cfvo type="formula" val="&gt;5"/>
        <color rgb="FFFF0000"/>
        <color rgb="FF0000FF"/>
      </colorScale>
    </cfRule>
  </conditionalFormatting>
  <conditionalFormatting sqref="P7">
    <cfRule type="cellIs" priority="3" operator="lessThan" aboveAverage="0" equalAverage="0" bottom="0" percent="0" rank="0" text="" dxfId="0">
      <formula>5</formula>
    </cfRule>
    <cfRule type="cellIs" priority="4" operator="greaterThanOrEqual" aboveAverage="0" equalAverage="0" bottom="0" percent="0" rank="0" text="" dxfId="1">
      <formula>i</formula>
    </cfRule>
  </conditionalFormatting>
  <conditionalFormatting sqref="P8">
    <cfRule type="colorScale" priority="5">
      <colorScale>
        <cfvo type="formula" val="&lt;5"/>
        <cfvo type="formula" val="&gt;5"/>
        <color rgb="FFFF0000"/>
        <color rgb="FF0000FF"/>
      </colorScale>
    </cfRule>
  </conditionalFormatting>
  <conditionalFormatting sqref="P8">
    <cfRule type="cellIs" priority="6" operator="lessThan" aboveAverage="0" equalAverage="0" bottom="0" percent="0" rank="0" text="" dxfId="0">
      <formula>5</formula>
    </cfRule>
    <cfRule type="cellIs" priority="7" operator="greaterThanOrEqual" aboveAverage="0" equalAverage="0" bottom="0" percent="0" rank="0" text="" dxfId="1">
      <formula>5</formula>
    </cfRule>
  </conditionalFormatting>
  <conditionalFormatting sqref="P17">
    <cfRule type="colorScale" priority="8">
      <colorScale>
        <cfvo type="formula" val="&lt;5"/>
        <cfvo type="formula" val="&gt;5"/>
        <color rgb="FFFF0000"/>
        <color rgb="FF0000FF"/>
      </colorScale>
    </cfRule>
  </conditionalFormatting>
  <conditionalFormatting sqref="P17">
    <cfRule type="cellIs" priority="9" operator="lessThan" aboveAverage="0" equalAverage="0" bottom="0" percent="0" rank="0" text="" dxfId="0">
      <formula>5</formula>
    </cfRule>
    <cfRule type="cellIs" priority="10" operator="greaterThanOrEqual" aboveAverage="0" equalAverage="0" bottom="0" percent="0" rank="0" text="" dxfId="1">
      <formula>5</formula>
    </cfRule>
  </conditionalFormatting>
  <conditionalFormatting sqref="P21">
    <cfRule type="colorScale" priority="11">
      <colorScale>
        <cfvo type="formula" val="&lt;5"/>
        <cfvo type="formula" val="&gt;5"/>
        <color rgb="FFFF0000"/>
        <color rgb="FF0000FF"/>
      </colorScale>
    </cfRule>
  </conditionalFormatting>
  <conditionalFormatting sqref="P21">
    <cfRule type="cellIs" priority="12" operator="lessThan" aboveAverage="0" equalAverage="0" bottom="0" percent="0" rank="0" text="" dxfId="0">
      <formula>5</formula>
    </cfRule>
    <cfRule type="cellIs" priority="13" operator="greaterThanOrEqual" aboveAverage="0" equalAverage="0" bottom="0" percent="0" rank="0" text="" dxfId="1">
      <formula>5</formula>
    </cfRule>
  </conditionalFormatting>
  <conditionalFormatting sqref="P23">
    <cfRule type="colorScale" priority="14">
      <colorScale>
        <cfvo type="formula" val="&lt;5"/>
        <cfvo type="formula" val="&gt;5"/>
        <color rgb="FFFF0000"/>
        <color rgb="FF0000FF"/>
      </colorScale>
    </cfRule>
  </conditionalFormatting>
  <conditionalFormatting sqref="P23">
    <cfRule type="cellIs" priority="15" operator="lessThan" aboveAverage="0" equalAverage="0" bottom="0" percent="0" rank="0" text="" dxfId="0">
      <formula>5</formula>
    </cfRule>
  </conditionalFormatting>
  <conditionalFormatting sqref="P28">
    <cfRule type="colorScale" priority="16">
      <colorScale>
        <cfvo type="formula" val="&lt;5"/>
        <cfvo type="formula" val="&gt;5"/>
        <color rgb="FFFF0000"/>
        <color rgb="FF0000FF"/>
      </colorScale>
    </cfRule>
  </conditionalFormatting>
  <conditionalFormatting sqref="P28">
    <cfRule type="cellIs" priority="17" operator="lessThan" aboveAverage="0" equalAverage="0" bottom="0" percent="0" rank="0" text="" dxfId="0">
      <formula>5</formula>
    </cfRule>
    <cfRule type="cellIs" priority="18" operator="greaterThanOrEqual" aboveAverage="0" equalAverage="0" bottom="0" percent="0" rank="0" text="" dxfId="1">
      <formula>5</formula>
    </cfRule>
  </conditionalFormatting>
  <conditionalFormatting sqref="P32">
    <cfRule type="colorScale" priority="19">
      <colorScale>
        <cfvo type="formula" val="&lt;5"/>
        <cfvo type="formula" val="&gt;5"/>
        <color rgb="FFFF0000"/>
        <color rgb="FF0000FF"/>
      </colorScale>
    </cfRule>
  </conditionalFormatting>
  <conditionalFormatting sqref="P32">
    <cfRule type="cellIs" priority="20" operator="lessThan" aboveAverage="0" equalAverage="0" bottom="0" percent="0" rank="0" text="" dxfId="0">
      <formula>5</formula>
    </cfRule>
    <cfRule type="cellIs" priority="21" operator="greaterThanOrEqual" aboveAverage="0" equalAverage="0" bottom="0" percent="0" rank="0" text="" dxfId="1">
      <formula>5</formula>
    </cfRule>
  </conditionalFormatting>
  <conditionalFormatting sqref="P33">
    <cfRule type="colorScale" priority="22">
      <colorScale>
        <cfvo type="formula" val="&lt;5"/>
        <cfvo type="formula" val="&gt;5"/>
        <color rgb="FFFF0000"/>
        <color rgb="FF0000FF"/>
      </colorScale>
    </cfRule>
  </conditionalFormatting>
  <conditionalFormatting sqref="P33">
    <cfRule type="cellIs" priority="23" operator="lessThan" aboveAverage="0" equalAverage="0" bottom="0" percent="0" rank="0" text="" dxfId="0">
      <formula>5</formula>
    </cfRule>
    <cfRule type="cellIs" priority="24" operator="greaterThanOrEqual" aboveAverage="0" equalAverage="0" bottom="0" percent="0" rank="0" text="" dxfId="1">
      <formula>5</formula>
    </cfRule>
  </conditionalFormatting>
  <conditionalFormatting sqref="P40">
    <cfRule type="colorScale" priority="25">
      <colorScale>
        <cfvo type="formula" val="&lt;5"/>
        <cfvo type="formula" val="&gt;5"/>
        <color rgb="FFFF0000"/>
        <color rgb="FF0000FF"/>
      </colorScale>
    </cfRule>
  </conditionalFormatting>
  <conditionalFormatting sqref="P40">
    <cfRule type="cellIs" priority="26" operator="lessThan" aboveAverage="0" equalAverage="0" bottom="0" percent="0" rank="0" text="" dxfId="0">
      <formula>5</formula>
    </cfRule>
    <cfRule type="cellIs" priority="27" operator="greaterThanOrEqual" aboveAverage="0" equalAverage="0" bottom="0" percent="0" rank="0" text="" dxfId="1">
      <formula>5</formula>
    </cfRule>
  </conditionalFormatting>
  <conditionalFormatting sqref="P41">
    <cfRule type="colorScale" priority="28">
      <colorScale>
        <cfvo type="formula" val="&lt;5"/>
        <cfvo type="formula" val="&gt;5"/>
        <color rgb="FFFF0000"/>
        <color rgb="FF0000FF"/>
      </colorScale>
    </cfRule>
  </conditionalFormatting>
  <conditionalFormatting sqref="P41">
    <cfRule type="cellIs" priority="29" operator="lessThan" aboveAverage="0" equalAverage="0" bottom="0" percent="0" rank="0" text="" dxfId="0">
      <formula>5</formula>
    </cfRule>
    <cfRule type="cellIs" priority="30" operator="greaterThanOrEqual" aboveAverage="0" equalAverage="0" bottom="0" percent="0" rank="0" text="" dxfId="1">
      <formula>5</formula>
    </cfRule>
  </conditionalFormatting>
  <conditionalFormatting sqref="P42">
    <cfRule type="colorScale" priority="31">
      <colorScale>
        <cfvo type="formula" val="&lt;5"/>
        <cfvo type="formula" val="&gt;5"/>
        <color rgb="FFFF0000"/>
        <color rgb="FF0000FF"/>
      </colorScale>
    </cfRule>
  </conditionalFormatting>
  <conditionalFormatting sqref="P42">
    <cfRule type="cellIs" priority="32" operator="lessThan" aboveAverage="0" equalAverage="0" bottom="0" percent="0" rank="0" text="" dxfId="0">
      <formula>5</formula>
    </cfRule>
    <cfRule type="cellIs" priority="33" operator="greaterThanOrEqual" aboveAverage="0" equalAverage="0" bottom="0" percent="0" rank="0" text="" dxfId="1">
      <formula>5</formula>
    </cfRule>
  </conditionalFormatting>
  <conditionalFormatting sqref="P43">
    <cfRule type="colorScale" priority="34">
      <colorScale>
        <cfvo type="formula" val="&lt;5"/>
        <cfvo type="formula" val="&gt;5"/>
        <color rgb="FFFF0000"/>
        <color rgb="FF0000FF"/>
      </colorScale>
    </cfRule>
  </conditionalFormatting>
  <conditionalFormatting sqref="P43">
    <cfRule type="cellIs" priority="35" operator="lessThan" aboveAverage="0" equalAverage="0" bottom="0" percent="0" rank="0" text="" dxfId="0">
      <formula>5</formula>
    </cfRule>
    <cfRule type="cellIs" priority="36" operator="greaterThanOrEqual" aboveAverage="0" equalAverage="0" bottom="0" percent="0" rank="0" text="" dxfId="1">
      <formula>5</formula>
    </cfRule>
  </conditionalFormatting>
  <conditionalFormatting sqref="P44">
    <cfRule type="colorScale" priority="37">
      <colorScale>
        <cfvo type="formula" val="&lt;5"/>
        <cfvo type="formula" val="&gt;5"/>
        <color rgb="FFFF0000"/>
        <color rgb="FF0000FF"/>
      </colorScale>
    </cfRule>
  </conditionalFormatting>
  <conditionalFormatting sqref="P44">
    <cfRule type="cellIs" priority="38" operator="lessThan" aboveAverage="0" equalAverage="0" bottom="0" percent="0" rank="0" text="" dxfId="0">
      <formula>5</formula>
    </cfRule>
    <cfRule type="cellIs" priority="39" operator="greaterThanOrEqual" aboveAverage="0" equalAverage="0" bottom="0" percent="0" rank="0" text="" dxfId="1">
      <formula>5</formula>
    </cfRule>
  </conditionalFormatting>
  <conditionalFormatting sqref="P47">
    <cfRule type="colorScale" priority="40">
      <colorScale>
        <cfvo type="formula" val="&lt;5"/>
        <cfvo type="formula" val="&gt;5"/>
        <color rgb="FFFF0000"/>
        <color rgb="FF0000FF"/>
      </colorScale>
    </cfRule>
  </conditionalFormatting>
  <conditionalFormatting sqref="P47">
    <cfRule type="cellIs" priority="41" operator="lessThan" aboveAverage="0" equalAverage="0" bottom="0" percent="0" rank="0" text="" dxfId="0">
      <formula>5</formula>
    </cfRule>
    <cfRule type="cellIs" priority="42" operator="greaterThanOrEqual" aboveAverage="0" equalAverage="0" bottom="0" percent="0" rank="0" text="" dxfId="1">
      <formula>5</formula>
    </cfRule>
  </conditionalFormatting>
  <conditionalFormatting sqref="P48">
    <cfRule type="colorScale" priority="43">
      <colorScale>
        <cfvo type="formula" val="&lt;5"/>
        <cfvo type="formula" val="&gt;5"/>
        <color rgb="FFFF0000"/>
        <color rgb="FF0000FF"/>
      </colorScale>
    </cfRule>
  </conditionalFormatting>
  <conditionalFormatting sqref="P48">
    <cfRule type="cellIs" priority="44" operator="lessThan" aboveAverage="0" equalAverage="0" bottom="0" percent="0" rank="0" text="" dxfId="0">
      <formula>5</formula>
    </cfRule>
    <cfRule type="cellIs" priority="45" operator="greaterThanOrEqual" aboveAverage="0" equalAverage="0" bottom="0" percent="0" rank="0" text="" dxfId="1">
      <formula>5</formula>
    </cfRule>
  </conditionalFormatting>
  <conditionalFormatting sqref="P51">
    <cfRule type="colorScale" priority="46">
      <colorScale>
        <cfvo type="formula" val="&lt;5"/>
        <cfvo type="formula" val="&gt;5"/>
        <color rgb="FFFF0000"/>
        <color rgb="FF0000FF"/>
      </colorScale>
    </cfRule>
  </conditionalFormatting>
  <conditionalFormatting sqref="P51">
    <cfRule type="cellIs" priority="47" operator="lessThan" aboveAverage="0" equalAverage="0" bottom="0" percent="0" rank="0" text="" dxfId="0">
      <formula>5</formula>
    </cfRule>
    <cfRule type="cellIs" priority="48" operator="greaterThanOrEqual" aboveAverage="0" equalAverage="0" bottom="0" percent="0" rank="0" text="" dxfId="1">
      <formula>5</formula>
    </cfRule>
  </conditionalFormatting>
  <conditionalFormatting sqref="P62">
    <cfRule type="colorScale" priority="49">
      <colorScale>
        <cfvo type="formula" val="&lt;5"/>
        <cfvo type="formula" val="&gt;5"/>
        <color rgb="FFFF0000"/>
        <color rgb="FF0000FF"/>
      </colorScale>
    </cfRule>
  </conditionalFormatting>
  <conditionalFormatting sqref="P62">
    <cfRule type="cellIs" priority="50" operator="lessThan" aboveAverage="0" equalAverage="0" bottom="0" percent="0" rank="0" text="" dxfId="0">
      <formula>5</formula>
    </cfRule>
    <cfRule type="cellIs" priority="51" operator="greaterThanOrEqual" aboveAverage="0" equalAverage="0" bottom="0" percent="0" rank="0" text="" dxfId="1">
      <formula>5</formula>
    </cfRule>
  </conditionalFormatting>
  <conditionalFormatting sqref="P64">
    <cfRule type="colorScale" priority="52">
      <colorScale>
        <cfvo type="formula" val="&lt;5"/>
        <cfvo type="formula" val="&gt;5"/>
        <color rgb="FFFF0000"/>
        <color rgb="FF0000FF"/>
      </colorScale>
    </cfRule>
  </conditionalFormatting>
  <conditionalFormatting sqref="P64">
    <cfRule type="cellIs" priority="53" operator="lessThan" aboveAverage="0" equalAverage="0" bottom="0" percent="0" rank="0" text="" dxfId="0">
      <formula>5</formula>
    </cfRule>
    <cfRule type="cellIs" priority="54" operator="greaterThanOrEqual" aboveAverage="0" equalAverage="0" bottom="0" percent="0" rank="0" text="" dxfId="1">
      <formula>5</formula>
    </cfRule>
  </conditionalFormatting>
  <conditionalFormatting sqref="P66">
    <cfRule type="colorScale" priority="55">
      <colorScale>
        <cfvo type="formula" val="&lt;5"/>
        <cfvo type="formula" val="&gt;5"/>
        <color rgb="FFFF0000"/>
        <color rgb="FF0000FF"/>
      </colorScale>
    </cfRule>
  </conditionalFormatting>
  <conditionalFormatting sqref="P66">
    <cfRule type="cellIs" priority="56" operator="lessThan" aboveAverage="0" equalAverage="0" bottom="0" percent="0" rank="0" text="" dxfId="0">
      <formula>5</formula>
    </cfRule>
    <cfRule type="cellIs" priority="57" operator="greaterThanOrEqual" aboveAverage="0" equalAverage="0" bottom="0" percent="0" rank="0" text="" dxfId="1">
      <formula>5</formula>
    </cfRule>
  </conditionalFormatting>
  <conditionalFormatting sqref="P73">
    <cfRule type="colorScale" priority="58">
      <colorScale>
        <cfvo type="formula" val="&lt;5"/>
        <cfvo type="formula" val="&gt;5"/>
        <color rgb="FFFF0000"/>
        <color rgb="FF0000FF"/>
      </colorScale>
    </cfRule>
  </conditionalFormatting>
  <conditionalFormatting sqref="P73">
    <cfRule type="cellIs" priority="59" operator="lessThan" aboveAverage="0" equalAverage="0" bottom="0" percent="0" rank="0" text="" dxfId="0">
      <formula>5</formula>
    </cfRule>
    <cfRule type="cellIs" priority="60" operator="greaterThanOrEqual" aboveAverage="0" equalAverage="0" bottom="0" percent="0" rank="0" text="" dxfId="1">
      <formula>5</formula>
    </cfRule>
  </conditionalFormatting>
  <conditionalFormatting sqref="P9">
    <cfRule type="colorScale" priority="61">
      <colorScale>
        <cfvo type="formula" val="&lt;5"/>
        <cfvo type="formula" val="&gt;5"/>
        <color rgb="FFFF0000"/>
        <color rgb="FF0000FF"/>
      </colorScale>
    </cfRule>
  </conditionalFormatting>
  <conditionalFormatting sqref="P9">
    <cfRule type="cellIs" priority="62" operator="lessThan" aboveAverage="0" equalAverage="0" bottom="0" percent="0" rank="0" text="" dxfId="0">
      <formula>5</formula>
    </cfRule>
    <cfRule type="cellIs" priority="63" operator="greaterThanOrEqual" aboveAverage="0" equalAverage="0" bottom="0" percent="0" rank="0" text="" dxfId="1">
      <formula>5</formula>
    </cfRule>
  </conditionalFormatting>
  <conditionalFormatting sqref="P36">
    <cfRule type="colorScale" priority="64">
      <colorScale>
        <cfvo type="formula" val="&lt;5"/>
        <cfvo type="formula" val="&gt;5"/>
        <color rgb="FFFF0000"/>
        <color rgb="FF0000FF"/>
      </colorScale>
    </cfRule>
  </conditionalFormatting>
  <conditionalFormatting sqref="P36">
    <cfRule type="cellIs" priority="65" operator="lessThan" aboveAverage="0" equalAverage="0" bottom="0" percent="0" rank="0" text="" dxfId="0">
      <formula>5</formula>
    </cfRule>
    <cfRule type="cellIs" priority="66" operator="greaterThanOrEqual" aboveAverage="0" equalAverage="0" bottom="0" percent="0" rank="0" text="" dxfId="1">
      <formula>5</formula>
    </cfRule>
  </conditionalFormatting>
  <conditionalFormatting sqref="P13">
    <cfRule type="colorScale" priority="67">
      <colorScale>
        <cfvo type="formula" val="&lt;5"/>
        <cfvo type="formula" val="&gt;5"/>
        <color rgb="FFFF0000"/>
        <color rgb="FF0000FF"/>
      </colorScale>
    </cfRule>
  </conditionalFormatting>
  <conditionalFormatting sqref="P13">
    <cfRule type="cellIs" priority="68" operator="lessThan" aboveAverage="0" equalAverage="0" bottom="0" percent="0" rank="0" text="" dxfId="0">
      <formula>5</formula>
    </cfRule>
    <cfRule type="cellIs" priority="69" operator="greaterThanOrEqual" aboveAverage="0" equalAverage="0" bottom="0" percent="0" rank="0" text="" dxfId="1">
      <formula>5</formula>
    </cfRule>
  </conditionalFormatting>
  <conditionalFormatting sqref="P14">
    <cfRule type="colorScale" priority="70">
      <colorScale>
        <cfvo type="formula" val="&lt;5"/>
        <cfvo type="formula" val="&gt;5"/>
        <color rgb="FFFF0000"/>
        <color rgb="FF0000FF"/>
      </colorScale>
    </cfRule>
  </conditionalFormatting>
  <conditionalFormatting sqref="P14">
    <cfRule type="cellIs" priority="71" operator="lessThan" aboveAverage="0" equalAverage="0" bottom="0" percent="0" rank="0" text="" dxfId="0">
      <formula>5</formula>
    </cfRule>
    <cfRule type="cellIs" priority="72" operator="greaterThanOrEqual" aboveAverage="0" equalAverage="0" bottom="0" percent="0" rank="0" text="" dxfId="1">
      <formula>5</formula>
    </cfRule>
  </conditionalFormatting>
  <conditionalFormatting sqref="P16">
    <cfRule type="colorScale" priority="73">
      <colorScale>
        <cfvo type="formula" val="&lt;5"/>
        <cfvo type="formula" val="&gt;5"/>
        <color rgb="FFFF0000"/>
        <color rgb="FF0000FF"/>
      </colorScale>
    </cfRule>
  </conditionalFormatting>
  <conditionalFormatting sqref="P16">
    <cfRule type="cellIs" priority="74" operator="lessThan" aboveAverage="0" equalAverage="0" bottom="0" percent="0" rank="0" text="" dxfId="0">
      <formula>5</formula>
    </cfRule>
    <cfRule type="cellIs" priority="75" operator="greaterThanOrEqual" aboveAverage="0" equalAverage="0" bottom="0" percent="0" rank="0" text="" dxfId="1">
      <formula>5</formula>
    </cfRule>
  </conditionalFormatting>
  <conditionalFormatting sqref="P27">
    <cfRule type="colorScale" priority="76">
      <colorScale>
        <cfvo type="formula" val="&lt;5"/>
        <cfvo type="formula" val="&gt;5"/>
        <color rgb="FFFF0000"/>
        <color rgb="FF0000FF"/>
      </colorScale>
    </cfRule>
  </conditionalFormatting>
  <conditionalFormatting sqref="P27">
    <cfRule type="cellIs" priority="77" operator="lessThan" aboveAverage="0" equalAverage="0" bottom="0" percent="0" rank="0" text="" dxfId="0">
      <formula>5</formula>
    </cfRule>
    <cfRule type="cellIs" priority="78" operator="greaterThanOrEqual" aboveAverage="0" equalAverage="0" bottom="0" percent="0" rank="0" text="" dxfId="1">
      <formula>5</formula>
    </cfRule>
  </conditionalFormatting>
  <conditionalFormatting sqref="P29">
    <cfRule type="colorScale" priority="79">
      <colorScale>
        <cfvo type="formula" val="&lt;5"/>
        <cfvo type="formula" val="&gt;5"/>
        <color rgb="FFFF0000"/>
        <color rgb="FF0000FF"/>
      </colorScale>
    </cfRule>
  </conditionalFormatting>
  <conditionalFormatting sqref="P29">
    <cfRule type="cellIs" priority="80" operator="lessThan" aboveAverage="0" equalAverage="0" bottom="0" percent="0" rank="0" text="" dxfId="0">
      <formula>5</formula>
    </cfRule>
    <cfRule type="cellIs" priority="81" operator="greaterThanOrEqual" aboveAverage="0" equalAverage="0" bottom="0" percent="0" rank="0" text="" dxfId="1">
      <formula>5</formula>
    </cfRule>
  </conditionalFormatting>
  <conditionalFormatting sqref="P37">
    <cfRule type="colorScale" priority="82">
      <colorScale>
        <cfvo type="formula" val="&lt;5"/>
        <cfvo type="formula" val="&gt;5"/>
        <color rgb="FFFF0000"/>
        <color rgb="FF0000FF"/>
      </colorScale>
    </cfRule>
  </conditionalFormatting>
  <conditionalFormatting sqref="P37">
    <cfRule type="cellIs" priority="83" operator="lessThan" aboveAverage="0" equalAverage="0" bottom="0" percent="0" rank="0" text="" dxfId="0">
      <formula>5</formula>
    </cfRule>
    <cfRule type="cellIs" priority="84" operator="greaterThanOrEqual" aboveAverage="0" equalAverage="0" bottom="0" percent="0" rank="0" text="" dxfId="1">
      <formula>5</formula>
    </cfRule>
  </conditionalFormatting>
  <conditionalFormatting sqref="P30">
    <cfRule type="colorScale" priority="85">
      <colorScale>
        <cfvo type="formula" val="&lt;5"/>
        <cfvo type="formula" val="&gt;5"/>
        <color rgb="FFFF0000"/>
        <color rgb="FF0000FF"/>
      </colorScale>
    </cfRule>
  </conditionalFormatting>
  <conditionalFormatting sqref="P30">
    <cfRule type="cellIs" priority="86" operator="lessThan" aboveAverage="0" equalAverage="0" bottom="0" percent="0" rank="0" text="" dxfId="0">
      <formula>5</formula>
    </cfRule>
    <cfRule type="cellIs" priority="87" operator="greaterThanOrEqual" aboveAverage="0" equalAverage="0" bottom="0" percent="0" rank="0" text="" dxfId="1">
      <formula>5</formula>
    </cfRule>
  </conditionalFormatting>
  <conditionalFormatting sqref="P10">
    <cfRule type="colorScale" priority="88">
      <colorScale>
        <cfvo type="formula" val="&lt;5"/>
        <cfvo type="formula" val="&gt;5"/>
        <color rgb="FFFF0000"/>
        <color rgb="FF0000FF"/>
      </colorScale>
    </cfRule>
  </conditionalFormatting>
  <conditionalFormatting sqref="P10">
    <cfRule type="cellIs" priority="89" operator="lessThan" aboveAverage="0" equalAverage="0" bottom="0" percent="0" rank="0" text="" dxfId="0">
      <formula>5</formula>
    </cfRule>
    <cfRule type="cellIs" priority="90" operator="greaterThanOrEqual" aboveAverage="0" equalAverage="0" bottom="0" percent="0" rank="0" text="" dxfId="1">
      <formula>5</formula>
    </cfRule>
  </conditionalFormatting>
  <conditionalFormatting sqref="P11">
    <cfRule type="colorScale" priority="91">
      <colorScale>
        <cfvo type="formula" val="&lt;5"/>
        <cfvo type="formula" val="&gt;5"/>
        <color rgb="FFFF0000"/>
        <color rgb="FF0000FF"/>
      </colorScale>
    </cfRule>
  </conditionalFormatting>
  <conditionalFormatting sqref="P11">
    <cfRule type="cellIs" priority="92" operator="lessThan" aboveAverage="0" equalAverage="0" bottom="0" percent="0" rank="0" text="" dxfId="0">
      <formula>5</formula>
    </cfRule>
    <cfRule type="cellIs" priority="93" operator="greaterThanOrEqual" aboveAverage="0" equalAverage="0" bottom="0" percent="0" rank="0" text="" dxfId="1">
      <formula>5</formula>
    </cfRule>
  </conditionalFormatting>
  <conditionalFormatting sqref="P12">
    <cfRule type="colorScale" priority="94">
      <colorScale>
        <cfvo type="formula" val="&lt;5"/>
        <cfvo type="formula" val="&gt;5"/>
        <color rgb="FFFF0000"/>
        <color rgb="FF0000FF"/>
      </colorScale>
    </cfRule>
  </conditionalFormatting>
  <conditionalFormatting sqref="P12">
    <cfRule type="cellIs" priority="95" operator="lessThan" aboveAverage="0" equalAverage="0" bottom="0" percent="0" rank="0" text="" dxfId="0">
      <formula>5</formula>
    </cfRule>
    <cfRule type="cellIs" priority="96" operator="greaterThanOrEqual" aboveAverage="0" equalAverage="0" bottom="0" percent="0" rank="0" text="" dxfId="1">
      <formula>5</formula>
    </cfRule>
  </conditionalFormatting>
  <conditionalFormatting sqref="P15">
    <cfRule type="colorScale" priority="97">
      <colorScale>
        <cfvo type="formula" val="&lt;5"/>
        <cfvo type="formula" val="&gt;5"/>
        <color rgb="FFFF0000"/>
        <color rgb="FF0000FF"/>
      </colorScale>
    </cfRule>
  </conditionalFormatting>
  <conditionalFormatting sqref="P15">
    <cfRule type="cellIs" priority="98" operator="lessThan" aboveAverage="0" equalAverage="0" bottom="0" percent="0" rank="0" text="" dxfId="0">
      <formula>5</formula>
    </cfRule>
    <cfRule type="cellIs" priority="99" operator="greaterThanOrEqual" aboveAverage="0" equalAverage="0" bottom="0" percent="0" rank="0" text="" dxfId="1">
      <formula>5</formula>
    </cfRule>
  </conditionalFormatting>
  <conditionalFormatting sqref="P18">
    <cfRule type="colorScale" priority="100">
      <colorScale>
        <cfvo type="formula" val="&lt;5"/>
        <cfvo type="formula" val="&gt;5"/>
        <color rgb="FFFF0000"/>
        <color rgb="FF0000FF"/>
      </colorScale>
    </cfRule>
  </conditionalFormatting>
  <conditionalFormatting sqref="P18">
    <cfRule type="cellIs" priority="101" operator="lessThan" aboveAverage="0" equalAverage="0" bottom="0" percent="0" rank="0" text="" dxfId="0">
      <formula>5</formula>
    </cfRule>
    <cfRule type="cellIs" priority="102" operator="greaterThanOrEqual" aboveAverage="0" equalAverage="0" bottom="0" percent="0" rank="0" text="" dxfId="1">
      <formula>5</formula>
    </cfRule>
  </conditionalFormatting>
  <conditionalFormatting sqref="P19">
    <cfRule type="colorScale" priority="103">
      <colorScale>
        <cfvo type="formula" val="&lt;5"/>
        <cfvo type="formula" val="&gt;5"/>
        <color rgb="FFFF0000"/>
        <color rgb="FF0000FF"/>
      </colorScale>
    </cfRule>
  </conditionalFormatting>
  <conditionalFormatting sqref="P19">
    <cfRule type="cellIs" priority="104" operator="lessThan" aboveAverage="0" equalAverage="0" bottom="0" percent="0" rank="0" text="" dxfId="0">
      <formula>5</formula>
    </cfRule>
    <cfRule type="cellIs" priority="105" operator="greaterThanOrEqual" aboveAverage="0" equalAverage="0" bottom="0" percent="0" rank="0" text="" dxfId="1">
      <formula>5</formula>
    </cfRule>
  </conditionalFormatting>
  <conditionalFormatting sqref="P20">
    <cfRule type="colorScale" priority="106">
      <colorScale>
        <cfvo type="formula" val="&lt;5"/>
        <cfvo type="formula" val="&gt;5"/>
        <color rgb="FFFF0000"/>
        <color rgb="FF0000FF"/>
      </colorScale>
    </cfRule>
  </conditionalFormatting>
  <conditionalFormatting sqref="P20">
    <cfRule type="cellIs" priority="107" operator="lessThan" aboveAverage="0" equalAverage="0" bottom="0" percent="0" rank="0" text="" dxfId="0">
      <formula>5</formula>
    </cfRule>
    <cfRule type="cellIs" priority="108" operator="greaterThanOrEqual" aboveAverage="0" equalAverage="0" bottom="0" percent="0" rank="0" text="" dxfId="1">
      <formula>5</formula>
    </cfRule>
  </conditionalFormatting>
  <conditionalFormatting sqref="P24">
    <cfRule type="colorScale" priority="109">
      <colorScale>
        <cfvo type="formula" val="&lt;5"/>
        <cfvo type="formula" val="&gt;5"/>
        <color rgb="FFFF0000"/>
        <color rgb="FF0000FF"/>
      </colorScale>
    </cfRule>
  </conditionalFormatting>
  <conditionalFormatting sqref="P24">
    <cfRule type="cellIs" priority="110" operator="lessThan" aboveAverage="0" equalAverage="0" bottom="0" percent="0" rank="0" text="" dxfId="0">
      <formula>5</formula>
    </cfRule>
    <cfRule type="cellIs" priority="111" operator="greaterThanOrEqual" aboveAverage="0" equalAverage="0" bottom="0" percent="0" rank="0" text="" dxfId="1">
      <formula>5</formula>
    </cfRule>
  </conditionalFormatting>
  <conditionalFormatting sqref="P25">
    <cfRule type="colorScale" priority="112">
      <colorScale>
        <cfvo type="formula" val="&lt;5"/>
        <cfvo type="formula" val="&gt;5"/>
        <color rgb="FFFF0000"/>
        <color rgb="FF0000FF"/>
      </colorScale>
    </cfRule>
  </conditionalFormatting>
  <conditionalFormatting sqref="P25">
    <cfRule type="cellIs" priority="113" operator="lessThan" aboveAverage="0" equalAverage="0" bottom="0" percent="0" rank="0" text="" dxfId="0">
      <formula>5</formula>
    </cfRule>
    <cfRule type="cellIs" priority="114" operator="greaterThanOrEqual" aboveAverage="0" equalAverage="0" bottom="0" percent="0" rank="0" text="" dxfId="1">
      <formula>5</formula>
    </cfRule>
  </conditionalFormatting>
  <conditionalFormatting sqref="P26">
    <cfRule type="colorScale" priority="115">
      <colorScale>
        <cfvo type="formula" val="&lt;5"/>
        <cfvo type="formula" val="&gt;5"/>
        <color rgb="FFFF0000"/>
        <color rgb="FF0000FF"/>
      </colorScale>
    </cfRule>
  </conditionalFormatting>
  <conditionalFormatting sqref="P26">
    <cfRule type="cellIs" priority="116" operator="lessThan" aboveAverage="0" equalAverage="0" bottom="0" percent="0" rank="0" text="" dxfId="0">
      <formula>5</formula>
    </cfRule>
    <cfRule type="cellIs" priority="117" operator="greaterThanOrEqual" aboveAverage="0" equalAverage="0" bottom="0" percent="0" rank="0" text="" dxfId="1">
      <formula>5</formula>
    </cfRule>
  </conditionalFormatting>
  <conditionalFormatting sqref="P34">
    <cfRule type="colorScale" priority="118">
      <colorScale>
        <cfvo type="formula" val="&lt;5"/>
        <cfvo type="formula" val="&gt;5"/>
        <color rgb="FFFF0000"/>
        <color rgb="FF0000FF"/>
      </colorScale>
    </cfRule>
  </conditionalFormatting>
  <conditionalFormatting sqref="P34">
    <cfRule type="cellIs" priority="119" operator="lessThan" aboveAverage="0" equalAverage="0" bottom="0" percent="0" rank="0" text="" dxfId="0">
      <formula>5</formula>
    </cfRule>
    <cfRule type="cellIs" priority="120" operator="greaterThanOrEqual" aboveAverage="0" equalAverage="0" bottom="0" percent="0" rank="0" text="" dxfId="1">
      <formula>5</formula>
    </cfRule>
  </conditionalFormatting>
  <conditionalFormatting sqref="P39">
    <cfRule type="colorScale" priority="121">
      <colorScale>
        <cfvo type="formula" val="&lt;5"/>
        <cfvo type="formula" val="&gt;5"/>
        <color rgb="FFFF0000"/>
        <color rgb="FF0000FF"/>
      </colorScale>
    </cfRule>
  </conditionalFormatting>
  <conditionalFormatting sqref="P39">
    <cfRule type="cellIs" priority="122" operator="lessThan" aboveAverage="0" equalAverage="0" bottom="0" percent="0" rank="0" text="" dxfId="0">
      <formula>5</formula>
    </cfRule>
    <cfRule type="cellIs" priority="123" operator="greaterThanOrEqual" aboveAverage="0" equalAverage="0" bottom="0" percent="0" rank="0" text="" dxfId="1">
      <formula>5</formula>
    </cfRule>
  </conditionalFormatting>
  <conditionalFormatting sqref="P38">
    <cfRule type="colorScale" priority="124">
      <colorScale>
        <cfvo type="formula" val="&lt;5"/>
        <cfvo type="formula" val="&gt;5"/>
        <color rgb="FFFF0000"/>
        <color rgb="FF0000FF"/>
      </colorScale>
    </cfRule>
  </conditionalFormatting>
  <conditionalFormatting sqref="P38">
    <cfRule type="cellIs" priority="125" operator="lessThan" aboveAverage="0" equalAverage="0" bottom="0" percent="0" rank="0" text="" dxfId="0">
      <formula>5</formula>
    </cfRule>
    <cfRule type="cellIs" priority="126" operator="greaterThanOrEqual" aboveAverage="0" equalAverage="0" bottom="0" percent="0" rank="0" text="" dxfId="1">
      <formula>5</formula>
    </cfRule>
  </conditionalFormatting>
  <conditionalFormatting sqref="P45">
    <cfRule type="colorScale" priority="127">
      <colorScale>
        <cfvo type="formula" val="&lt;5"/>
        <cfvo type="formula" val="&gt;5"/>
        <color rgb="FFFF0000"/>
        <color rgb="FF0000FF"/>
      </colorScale>
    </cfRule>
  </conditionalFormatting>
  <conditionalFormatting sqref="P45">
    <cfRule type="cellIs" priority="128" operator="lessThan" aboveAverage="0" equalAverage="0" bottom="0" percent="0" rank="0" text="" dxfId="0">
      <formula>5</formula>
    </cfRule>
    <cfRule type="cellIs" priority="129" operator="greaterThanOrEqual" aboveAverage="0" equalAverage="0" bottom="0" percent="0" rank="0" text="" dxfId="1">
      <formula>5</formula>
    </cfRule>
  </conditionalFormatting>
  <conditionalFormatting sqref="P46">
    <cfRule type="colorScale" priority="130">
      <colorScale>
        <cfvo type="formula" val="&lt;5"/>
        <cfvo type="formula" val="&gt;5"/>
        <color rgb="FFFF0000"/>
        <color rgb="FF0000FF"/>
      </colorScale>
    </cfRule>
  </conditionalFormatting>
  <conditionalFormatting sqref="P46">
    <cfRule type="cellIs" priority="131" operator="lessThan" aboveAverage="0" equalAverage="0" bottom="0" percent="0" rank="0" text="" dxfId="0">
      <formula>5</formula>
    </cfRule>
    <cfRule type="cellIs" priority="132" operator="greaterThanOrEqual" aboveAverage="0" equalAverage="0" bottom="0" percent="0" rank="0" text="" dxfId="1">
      <formula>5</formula>
    </cfRule>
  </conditionalFormatting>
  <conditionalFormatting sqref="P50">
    <cfRule type="colorScale" priority="133">
      <colorScale>
        <cfvo type="formula" val="&lt;5"/>
        <cfvo type="formula" val="&gt;5"/>
        <color rgb="FFFF0000"/>
        <color rgb="FF0000FF"/>
      </colorScale>
    </cfRule>
  </conditionalFormatting>
  <conditionalFormatting sqref="P50">
    <cfRule type="cellIs" priority="134" operator="lessThan" aboveAverage="0" equalAverage="0" bottom="0" percent="0" rank="0" text="" dxfId="0">
      <formula>5</formula>
    </cfRule>
    <cfRule type="cellIs" priority="135" operator="greaterThanOrEqual" aboveAverage="0" equalAverage="0" bottom="0" percent="0" rank="0" text="" dxfId="1">
      <formula>5</formula>
    </cfRule>
  </conditionalFormatting>
  <conditionalFormatting sqref="P52">
    <cfRule type="colorScale" priority="136">
      <colorScale>
        <cfvo type="formula" val="&lt;5"/>
        <cfvo type="formula" val="&gt;5"/>
        <color rgb="FFFF0000"/>
        <color rgb="FF0000FF"/>
      </colorScale>
    </cfRule>
  </conditionalFormatting>
  <conditionalFormatting sqref="P52">
    <cfRule type="cellIs" priority="137" operator="lessThan" aboveAverage="0" equalAverage="0" bottom="0" percent="0" rank="0" text="" dxfId="0">
      <formula>5</formula>
    </cfRule>
    <cfRule type="cellIs" priority="138" operator="greaterThanOrEqual" aboveAverage="0" equalAverage="0" bottom="0" percent="0" rank="0" text="" dxfId="1">
      <formula>5</formula>
    </cfRule>
  </conditionalFormatting>
  <conditionalFormatting sqref="P53">
    <cfRule type="colorScale" priority="139">
      <colorScale>
        <cfvo type="formula" val="&lt;5"/>
        <cfvo type="formula" val="&gt;5"/>
        <color rgb="FFFF0000"/>
        <color rgb="FF0000FF"/>
      </colorScale>
    </cfRule>
  </conditionalFormatting>
  <conditionalFormatting sqref="P53">
    <cfRule type="cellIs" priority="140" operator="lessThan" aboveAverage="0" equalAverage="0" bottom="0" percent="0" rank="0" text="" dxfId="0">
      <formula>5</formula>
    </cfRule>
    <cfRule type="cellIs" priority="141" operator="greaterThanOrEqual" aboveAverage="0" equalAverage="0" bottom="0" percent="0" rank="0" text="" dxfId="1">
      <formula>5</formula>
    </cfRule>
  </conditionalFormatting>
  <conditionalFormatting sqref="P54">
    <cfRule type="colorScale" priority="142">
      <colorScale>
        <cfvo type="formula" val="&lt;5"/>
        <cfvo type="formula" val="&gt;5"/>
        <color rgb="FFFF0000"/>
        <color rgb="FF0000FF"/>
      </colorScale>
    </cfRule>
  </conditionalFormatting>
  <conditionalFormatting sqref="P54">
    <cfRule type="cellIs" priority="143" operator="lessThan" aboveAverage="0" equalAverage="0" bottom="0" percent="0" rank="0" text="" dxfId="0">
      <formula>5</formula>
    </cfRule>
    <cfRule type="cellIs" priority="144" operator="greaterThanOrEqual" aboveAverage="0" equalAverage="0" bottom="0" percent="0" rank="0" text="" dxfId="1">
      <formula>5</formula>
    </cfRule>
  </conditionalFormatting>
  <conditionalFormatting sqref="P55">
    <cfRule type="colorScale" priority="145">
      <colorScale>
        <cfvo type="formula" val="&lt;5"/>
        <cfvo type="formula" val="&gt;5"/>
        <color rgb="FFFF0000"/>
        <color rgb="FF0000FF"/>
      </colorScale>
    </cfRule>
  </conditionalFormatting>
  <conditionalFormatting sqref="P55">
    <cfRule type="cellIs" priority="146" operator="lessThan" aboveAverage="0" equalAverage="0" bottom="0" percent="0" rank="0" text="" dxfId="0">
      <formula>5</formula>
    </cfRule>
    <cfRule type="cellIs" priority="147" operator="greaterThanOrEqual" aboveAverage="0" equalAverage="0" bottom="0" percent="0" rank="0" text="" dxfId="1">
      <formula>5</formula>
    </cfRule>
  </conditionalFormatting>
  <conditionalFormatting sqref="P56">
    <cfRule type="colorScale" priority="148">
      <colorScale>
        <cfvo type="formula" val="&lt;5"/>
        <cfvo type="formula" val="&gt;5"/>
        <color rgb="FFFF0000"/>
        <color rgb="FF0000FF"/>
      </colorScale>
    </cfRule>
  </conditionalFormatting>
  <conditionalFormatting sqref="P56">
    <cfRule type="cellIs" priority="149" operator="lessThan" aboveAverage="0" equalAverage="0" bottom="0" percent="0" rank="0" text="" dxfId="0">
      <formula>5</formula>
    </cfRule>
    <cfRule type="cellIs" priority="150" operator="greaterThanOrEqual" aboveAverage="0" equalAverage="0" bottom="0" percent="0" rank="0" text="" dxfId="1">
      <formula>5</formula>
    </cfRule>
  </conditionalFormatting>
  <conditionalFormatting sqref="P57">
    <cfRule type="colorScale" priority="151">
      <colorScale>
        <cfvo type="formula" val="&lt;5"/>
        <cfvo type="formula" val="&gt;5"/>
        <color rgb="FFFF0000"/>
        <color rgb="FF0000FF"/>
      </colorScale>
    </cfRule>
  </conditionalFormatting>
  <conditionalFormatting sqref="P57">
    <cfRule type="cellIs" priority="152" operator="lessThan" aboveAverage="0" equalAverage="0" bottom="0" percent="0" rank="0" text="" dxfId="0">
      <formula>5</formula>
    </cfRule>
    <cfRule type="cellIs" priority="153" operator="greaterThanOrEqual" aboveAverage="0" equalAverage="0" bottom="0" percent="0" rank="0" text="" dxfId="1">
      <formula>5</formula>
    </cfRule>
  </conditionalFormatting>
  <conditionalFormatting sqref="P58">
    <cfRule type="colorScale" priority="154">
      <colorScale>
        <cfvo type="formula" val="&lt;5"/>
        <cfvo type="formula" val="&gt;5"/>
        <color rgb="FFFF0000"/>
        <color rgb="FF0000FF"/>
      </colorScale>
    </cfRule>
  </conditionalFormatting>
  <conditionalFormatting sqref="P58">
    <cfRule type="cellIs" priority="155" operator="lessThan" aboveAverage="0" equalAverage="0" bottom="0" percent="0" rank="0" text="" dxfId="0">
      <formula>5</formula>
    </cfRule>
    <cfRule type="cellIs" priority="156" operator="greaterThanOrEqual" aboveAverage="0" equalAverage="0" bottom="0" percent="0" rank="0" text="" dxfId="1">
      <formula>5</formula>
    </cfRule>
  </conditionalFormatting>
  <conditionalFormatting sqref="P59">
    <cfRule type="colorScale" priority="157">
      <colorScale>
        <cfvo type="formula" val="&lt;5"/>
        <cfvo type="formula" val="&gt;5"/>
        <color rgb="FFFF0000"/>
        <color rgb="FF0000FF"/>
      </colorScale>
    </cfRule>
  </conditionalFormatting>
  <conditionalFormatting sqref="P59">
    <cfRule type="cellIs" priority="158" operator="lessThan" aboveAverage="0" equalAverage="0" bottom="0" percent="0" rank="0" text="" dxfId="0">
      <formula>5</formula>
    </cfRule>
    <cfRule type="cellIs" priority="159" operator="greaterThanOrEqual" aboveAverage="0" equalAverage="0" bottom="0" percent="0" rank="0" text="" dxfId="1">
      <formula>5</formula>
    </cfRule>
  </conditionalFormatting>
  <conditionalFormatting sqref="P60">
    <cfRule type="colorScale" priority="160">
      <colorScale>
        <cfvo type="formula" val="&lt;5"/>
        <cfvo type="formula" val="&gt;5"/>
        <color rgb="FFFF0000"/>
        <color rgb="FF0000FF"/>
      </colorScale>
    </cfRule>
  </conditionalFormatting>
  <conditionalFormatting sqref="P60">
    <cfRule type="cellIs" priority="161" operator="lessThan" aboveAverage="0" equalAverage="0" bottom="0" percent="0" rank="0" text="" dxfId="0">
      <formula>5</formula>
    </cfRule>
    <cfRule type="cellIs" priority="162" operator="greaterThanOrEqual" aboveAverage="0" equalAverage="0" bottom="0" percent="0" rank="0" text="" dxfId="1">
      <formula>5</formula>
    </cfRule>
  </conditionalFormatting>
  <conditionalFormatting sqref="P61">
    <cfRule type="colorScale" priority="163">
      <colorScale>
        <cfvo type="formula" val="&lt;5"/>
        <cfvo type="formula" val="&gt;5"/>
        <color rgb="FFFF0000"/>
        <color rgb="FF0000FF"/>
      </colorScale>
    </cfRule>
  </conditionalFormatting>
  <conditionalFormatting sqref="P61">
    <cfRule type="cellIs" priority="164" operator="lessThan" aboveAverage="0" equalAverage="0" bottom="0" percent="0" rank="0" text="" dxfId="0">
      <formula>5</formula>
    </cfRule>
    <cfRule type="cellIs" priority="165" operator="greaterThanOrEqual" aboveAverage="0" equalAverage="0" bottom="0" percent="0" rank="0" text="" dxfId="1">
      <formula>5</formula>
    </cfRule>
  </conditionalFormatting>
  <conditionalFormatting sqref="P63">
    <cfRule type="colorScale" priority="166">
      <colorScale>
        <cfvo type="formula" val="&lt;5"/>
        <cfvo type="formula" val="&gt;5"/>
        <color rgb="FFFF0000"/>
        <color rgb="FF0000FF"/>
      </colorScale>
    </cfRule>
  </conditionalFormatting>
  <conditionalFormatting sqref="P63">
    <cfRule type="cellIs" priority="167" operator="lessThan" aboveAverage="0" equalAverage="0" bottom="0" percent="0" rank="0" text="" dxfId="0">
      <formula>5</formula>
    </cfRule>
    <cfRule type="cellIs" priority="168" operator="greaterThanOrEqual" aboveAverage="0" equalAverage="0" bottom="0" percent="0" rank="0" text="" dxfId="1">
      <formula>5</formula>
    </cfRule>
  </conditionalFormatting>
  <conditionalFormatting sqref="P65">
    <cfRule type="colorScale" priority="169">
      <colorScale>
        <cfvo type="formula" val="&lt;5"/>
        <cfvo type="formula" val="&gt;5"/>
        <color rgb="FFFF0000"/>
        <color rgb="FF0000FF"/>
      </colorScale>
    </cfRule>
  </conditionalFormatting>
  <conditionalFormatting sqref="P65">
    <cfRule type="cellIs" priority="170" operator="lessThan" aboveAverage="0" equalAverage="0" bottom="0" percent="0" rank="0" text="" dxfId="0">
      <formula>5</formula>
    </cfRule>
    <cfRule type="cellIs" priority="171" operator="greaterThanOrEqual" aboveAverage="0" equalAverage="0" bottom="0" percent="0" rank="0" text="" dxfId="1">
      <formula>5</formula>
    </cfRule>
  </conditionalFormatting>
  <conditionalFormatting sqref="P67">
    <cfRule type="colorScale" priority="172">
      <colorScale>
        <cfvo type="formula" val="&lt;5"/>
        <cfvo type="formula" val="&gt;5"/>
        <color rgb="FFFF0000"/>
        <color rgb="FF0000FF"/>
      </colorScale>
    </cfRule>
  </conditionalFormatting>
  <conditionalFormatting sqref="P67">
    <cfRule type="cellIs" priority="173" operator="lessThan" aboveAverage="0" equalAverage="0" bottom="0" percent="0" rank="0" text="" dxfId="0">
      <formula>5</formula>
    </cfRule>
    <cfRule type="cellIs" priority="174" operator="greaterThanOrEqual" aboveAverage="0" equalAverage="0" bottom="0" percent="0" rank="0" text="" dxfId="1">
      <formula>5</formula>
    </cfRule>
  </conditionalFormatting>
  <conditionalFormatting sqref="P68">
    <cfRule type="colorScale" priority="175">
      <colorScale>
        <cfvo type="formula" val="&lt;5"/>
        <cfvo type="formula" val="&gt;5"/>
        <color rgb="FFFF0000"/>
        <color rgb="FF0000FF"/>
      </colorScale>
    </cfRule>
  </conditionalFormatting>
  <conditionalFormatting sqref="P68">
    <cfRule type="cellIs" priority="176" operator="lessThan" aboveAverage="0" equalAverage="0" bottom="0" percent="0" rank="0" text="" dxfId="0">
      <formula>5</formula>
    </cfRule>
    <cfRule type="cellIs" priority="177" operator="greaterThanOrEqual" aboveAverage="0" equalAverage="0" bottom="0" percent="0" rank="0" text="" dxfId="1">
      <formula>5</formula>
    </cfRule>
  </conditionalFormatting>
  <conditionalFormatting sqref="P69">
    <cfRule type="colorScale" priority="178">
      <colorScale>
        <cfvo type="formula" val="&lt;5"/>
        <cfvo type="formula" val="&gt;5"/>
        <color rgb="FFFF0000"/>
        <color rgb="FF0000FF"/>
      </colorScale>
    </cfRule>
  </conditionalFormatting>
  <conditionalFormatting sqref="P69">
    <cfRule type="cellIs" priority="179" operator="lessThan" aboveAverage="0" equalAverage="0" bottom="0" percent="0" rank="0" text="" dxfId="0">
      <formula>5</formula>
    </cfRule>
    <cfRule type="cellIs" priority="180" operator="greaterThanOrEqual" aboveAverage="0" equalAverage="0" bottom="0" percent="0" rank="0" text="" dxfId="1">
      <formula>5</formula>
    </cfRule>
  </conditionalFormatting>
  <conditionalFormatting sqref="P70">
    <cfRule type="colorScale" priority="181">
      <colorScale>
        <cfvo type="formula" val="&lt;5"/>
        <cfvo type="formula" val="&gt;5"/>
        <color rgb="FFFF0000"/>
        <color rgb="FF0000FF"/>
      </colorScale>
    </cfRule>
  </conditionalFormatting>
  <conditionalFormatting sqref="P70">
    <cfRule type="cellIs" priority="182" operator="lessThan" aboveAverage="0" equalAverage="0" bottom="0" percent="0" rank="0" text="" dxfId="0">
      <formula>5</formula>
    </cfRule>
    <cfRule type="cellIs" priority="183" operator="greaterThanOrEqual" aboveAverage="0" equalAverage="0" bottom="0" percent="0" rank="0" text="" dxfId="1">
      <formula>5</formula>
    </cfRule>
  </conditionalFormatting>
  <conditionalFormatting sqref="P71">
    <cfRule type="colorScale" priority="184">
      <colorScale>
        <cfvo type="formula" val="&lt;5"/>
        <cfvo type="formula" val="&gt;5"/>
        <color rgb="FFFF0000"/>
        <color rgb="FF0000FF"/>
      </colorScale>
    </cfRule>
  </conditionalFormatting>
  <conditionalFormatting sqref="P71">
    <cfRule type="cellIs" priority="185" operator="lessThan" aboveAverage="0" equalAverage="0" bottom="0" percent="0" rank="0" text="" dxfId="0">
      <formula>5</formula>
    </cfRule>
    <cfRule type="cellIs" priority="186" operator="greaterThanOrEqual" aboveAverage="0" equalAverage="0" bottom="0" percent="0" rank="0" text="" dxfId="1">
      <formula>5</formula>
    </cfRule>
  </conditionalFormatting>
  <conditionalFormatting sqref="P72">
    <cfRule type="colorScale" priority="187">
      <colorScale>
        <cfvo type="formula" val="&lt;5"/>
        <cfvo type="formula" val="&gt;5"/>
        <color rgb="FFFF0000"/>
        <color rgb="FF0000FF"/>
      </colorScale>
    </cfRule>
  </conditionalFormatting>
  <conditionalFormatting sqref="P72">
    <cfRule type="cellIs" priority="188" operator="lessThan" aboveAverage="0" equalAverage="0" bottom="0" percent="0" rank="0" text="" dxfId="0">
      <formula>5</formula>
    </cfRule>
    <cfRule type="cellIs" priority="189" operator="greaterThanOrEqual" aboveAverage="0" equalAverage="0" bottom="0" percent="0" rank="0" text="" dxfId="1">
      <formula>5</formula>
    </cfRule>
  </conditionalFormatting>
  <conditionalFormatting sqref="P22">
    <cfRule type="colorScale" priority="190">
      <colorScale>
        <cfvo type="formula" val="&lt;5"/>
        <cfvo type="formula" val="&gt;5"/>
        <color rgb="FFFF0000"/>
        <color rgb="FF0000FF"/>
      </colorScale>
    </cfRule>
  </conditionalFormatting>
  <conditionalFormatting sqref="P22">
    <cfRule type="cellIs" priority="191" operator="lessThan" aboveAverage="0" equalAverage="0" bottom="0" percent="0" rank="0" text="" dxfId="0">
      <formula>5</formula>
    </cfRule>
    <cfRule type="cellIs" priority="192" operator="greaterThanOrEqual" aboveAverage="0" equalAverage="0" bottom="0" percent="0" rank="0" text="" dxfId="1">
      <formula>5</formula>
    </cfRule>
  </conditionalFormatting>
  <conditionalFormatting sqref="P31">
    <cfRule type="colorScale" priority="193">
      <colorScale>
        <cfvo type="formula" val="&lt;5"/>
        <cfvo type="formula" val="&gt;5"/>
        <color rgb="FFFF0000"/>
        <color rgb="FF0000FF"/>
      </colorScale>
    </cfRule>
  </conditionalFormatting>
  <conditionalFormatting sqref="P31">
    <cfRule type="cellIs" priority="194" operator="lessThan" aboveAverage="0" equalAverage="0" bottom="0" percent="0" rank="0" text="" dxfId="0">
      <formula>5</formula>
    </cfRule>
    <cfRule type="cellIs" priority="195" operator="greaterThanOrEqual" aboveAverage="0" equalAverage="0" bottom="0" percent="0" rank="0" text="" dxfId="1">
      <formula>5</formula>
    </cfRule>
  </conditionalFormatting>
  <conditionalFormatting sqref="P35">
    <cfRule type="colorScale" priority="196">
      <colorScale>
        <cfvo type="formula" val="&lt;5"/>
        <cfvo type="formula" val="&gt;5"/>
        <color rgb="FFFF0000"/>
        <color rgb="FF0000FF"/>
      </colorScale>
    </cfRule>
  </conditionalFormatting>
  <conditionalFormatting sqref="P35">
    <cfRule type="cellIs" priority="197" operator="lessThan" aboveAverage="0" equalAverage="0" bottom="0" percent="0" rank="0" text="" dxfId="0">
      <formula>5</formula>
    </cfRule>
    <cfRule type="cellIs" priority="198" operator="greaterThanOrEqual" aboveAverage="0" equalAverage="0" bottom="0" percent="0" rank="0" text="" dxfId="1">
      <formula>5</formula>
    </cfRule>
  </conditionalFormatting>
  <conditionalFormatting sqref="P49">
    <cfRule type="colorScale" priority="199">
      <colorScale>
        <cfvo type="formula" val="&lt;5"/>
        <cfvo type="formula" val="&gt;5"/>
        <color rgb="FFFF0000"/>
        <color rgb="FF0000FF"/>
      </colorScale>
    </cfRule>
  </conditionalFormatting>
  <conditionalFormatting sqref="P49">
    <cfRule type="cellIs" priority="200" operator="lessThan" aboveAverage="0" equalAverage="0" bottom="0" percent="0" rank="0" text="" dxfId="0">
      <formula>5</formula>
    </cfRule>
    <cfRule type="cellIs" priority="201" operator="greaterThanOrEqual" aboveAverage="0" equalAverage="0" bottom="0" percent="0" rank="0" text="" dxfId="1">
      <formula>5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Q73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P68" activeCellId="0" sqref="P68"/>
    </sheetView>
  </sheetViews>
  <sheetFormatPr defaultRowHeight="12.8" zeroHeight="false" outlineLevelRow="0" outlineLevelCol="0"/>
  <cols>
    <col collapsed="false" customWidth="true" hidden="false" outlineLevel="0" max="1" min="1" style="0" width="8.52"/>
    <col collapsed="false" customWidth="true" hidden="false" outlineLevel="0" max="2" min="2" style="0" width="9.59"/>
    <col collapsed="false" customWidth="true" hidden="false" outlineLevel="0" max="3" min="3" style="0" width="17.28"/>
    <col collapsed="false" customWidth="true" hidden="false" outlineLevel="0" max="257" min="4" style="0" width="8.52"/>
    <col collapsed="false" customWidth="true" hidden="false" outlineLevel="0" max="1025" min="258" style="0" width="8.37"/>
  </cols>
  <sheetData>
    <row r="3" customFormat="false" ht="12.8" hidden="false" customHeight="false" outlineLevel="0" collapsed="false">
      <c r="G3" s="24"/>
      <c r="H3" s="24" t="n">
        <v>0.02</v>
      </c>
      <c r="I3" s="24"/>
      <c r="J3" s="24"/>
      <c r="K3" s="24" t="n">
        <v>0.02</v>
      </c>
      <c r="L3" s="24"/>
    </row>
    <row r="4" customFormat="false" ht="16.15" hidden="false" customHeight="false" outlineLevel="0" collapsed="false">
      <c r="B4" s="30" t="s">
        <v>146</v>
      </c>
      <c r="C4" s="30"/>
      <c r="D4" s="30"/>
      <c r="E4" s="30"/>
      <c r="F4" s="24"/>
      <c r="G4" s="33"/>
      <c r="H4" s="33" t="n">
        <v>4.6</v>
      </c>
      <c r="I4" s="24" t="n">
        <v>3</v>
      </c>
      <c r="J4" s="24"/>
      <c r="K4" s="33" t="n">
        <v>0.022</v>
      </c>
      <c r="L4" s="24" t="n">
        <v>1</v>
      </c>
    </row>
    <row r="5" customFormat="false" ht="12.8" hidden="false" customHeight="false" outlineLevel="0" collapsed="false">
      <c r="B5" s="26" t="s">
        <v>147</v>
      </c>
      <c r="C5" s="34" t="n">
        <v>43066.9993055556</v>
      </c>
      <c r="D5" s="34"/>
      <c r="E5" s="24"/>
      <c r="F5" s="24" t="n">
        <v>100</v>
      </c>
      <c r="G5" s="25"/>
      <c r="H5" s="25" t="s">
        <v>51</v>
      </c>
      <c r="I5" s="24"/>
      <c r="J5" s="25" t="s">
        <v>52</v>
      </c>
      <c r="K5" s="25" t="s">
        <v>52</v>
      </c>
      <c r="L5" s="24"/>
    </row>
    <row r="6" customFormat="false" ht="12.8" hidden="false" customHeight="false" outlineLevel="0" collapsed="false">
      <c r="A6" s="25"/>
      <c r="B6" s="25" t="s">
        <v>16</v>
      </c>
      <c r="C6" s="25" t="s">
        <v>53</v>
      </c>
      <c r="D6" s="25" t="s">
        <v>54</v>
      </c>
      <c r="E6" s="25" t="s">
        <v>107</v>
      </c>
      <c r="F6" s="32" t="s">
        <v>55</v>
      </c>
      <c r="G6" s="32" t="s">
        <v>56</v>
      </c>
      <c r="H6" s="25" t="s">
        <v>57</v>
      </c>
      <c r="I6" s="32" t="s">
        <v>58</v>
      </c>
      <c r="J6" s="25" t="s">
        <v>43</v>
      </c>
      <c r="K6" s="32" t="s">
        <v>59</v>
      </c>
      <c r="L6" s="32" t="s">
        <v>60</v>
      </c>
      <c r="M6" s="50" t="s">
        <v>61</v>
      </c>
      <c r="N6" s="32" t="s">
        <v>62</v>
      </c>
      <c r="O6" s="32" t="s">
        <v>63</v>
      </c>
      <c r="P6" s="25" t="s">
        <v>64</v>
      </c>
      <c r="Q6" s="25" t="s">
        <v>65</v>
      </c>
    </row>
    <row r="7" customFormat="false" ht="12.8" hidden="false" customHeight="false" outlineLevel="0" collapsed="false">
      <c r="B7" s="25" t="s">
        <v>66</v>
      </c>
      <c r="C7" s="35" t="n">
        <v>43043.6</v>
      </c>
      <c r="D7" s="25" t="n">
        <v>1</v>
      </c>
      <c r="E7" s="25" t="n">
        <v>100</v>
      </c>
      <c r="F7" s="32" t="n">
        <f aca="false">E7/F5*2</f>
        <v>2</v>
      </c>
      <c r="G7" s="36" t="n">
        <v>127322</v>
      </c>
      <c r="H7" s="37" t="n">
        <f aca="false">G7/2/E7-1</f>
        <v>635.61</v>
      </c>
      <c r="I7" s="37" t="n">
        <f aca="false">I$4*(H$4+H$3)/(H7+H$3)</f>
        <v>0.0218051382093356</v>
      </c>
      <c r="J7" s="38" t="n">
        <v>30</v>
      </c>
      <c r="K7" s="39" t="n">
        <f aca="false">J7/200</f>
        <v>0.15</v>
      </c>
      <c r="L7" s="32" t="n">
        <f aca="false">L$4*(K$3+K$4)/(K$3+K7)</f>
        <v>0.247058823529412</v>
      </c>
      <c r="M7" s="50" t="n">
        <v>2</v>
      </c>
      <c r="N7" s="40" t="n">
        <f aca="false">MIN(10,D7+F7+I7+L7+M7)</f>
        <v>5.26886396173875</v>
      </c>
      <c r="O7" s="41" t="n">
        <f aca="false">IF(C$5&lt;C7,_xlfn.DAYS(C7,C$5),0)*0.2</f>
        <v>0</v>
      </c>
      <c r="P7" s="12" t="n">
        <f aca="false">(1-O7)*N7</f>
        <v>5.26886396173875</v>
      </c>
      <c r="Q7" s="0" t="s">
        <v>148</v>
      </c>
    </row>
    <row r="8" customFormat="false" ht="12.8" hidden="false" customHeight="false" outlineLevel="0" collapsed="false">
      <c r="B8" s="0" t="n">
        <f aca="false">MC346A!A3</f>
        <v>101487</v>
      </c>
      <c r="C8" s="24"/>
      <c r="D8" s="24"/>
      <c r="E8" s="24"/>
      <c r="F8" s="49"/>
      <c r="G8" s="24"/>
      <c r="H8" s="24"/>
      <c r="I8" s="24"/>
      <c r="J8" s="24"/>
      <c r="K8" s="24"/>
      <c r="L8" s="24"/>
      <c r="M8" s="48"/>
      <c r="N8" s="24"/>
      <c r="O8" s="24"/>
      <c r="P8" s="12"/>
    </row>
    <row r="9" customFormat="false" ht="12.8" hidden="false" customHeight="false" outlineLevel="0" collapsed="false">
      <c r="B9" s="0" t="n">
        <f aca="false">MC346A!A4</f>
        <v>116134</v>
      </c>
      <c r="C9" s="24"/>
      <c r="D9" s="24"/>
      <c r="E9" s="24"/>
      <c r="F9" s="49"/>
      <c r="G9" s="24"/>
      <c r="H9" s="24"/>
      <c r="I9" s="24"/>
      <c r="J9" s="24"/>
      <c r="K9" s="24"/>
      <c r="L9" s="24"/>
      <c r="M9" s="48"/>
      <c r="N9" s="24"/>
      <c r="O9" s="24"/>
      <c r="P9" s="12"/>
    </row>
    <row r="10" customFormat="false" ht="12.8" hidden="false" customHeight="false" outlineLevel="0" collapsed="false">
      <c r="B10" s="0" t="n">
        <f aca="false">MC346A!A5</f>
        <v>117079</v>
      </c>
      <c r="C10" s="51" t="n">
        <v>43066.5477777778</v>
      </c>
      <c r="D10" s="24" t="n">
        <v>0.3</v>
      </c>
      <c r="E10" s="24" t="n">
        <v>1</v>
      </c>
      <c r="F10" s="49" t="n">
        <f aca="false">E10/F$5*2</f>
        <v>0.02</v>
      </c>
      <c r="G10" s="24" t="n">
        <v>600</v>
      </c>
      <c r="H10" s="42" t="n">
        <f aca="false">G10/2/E10-1</f>
        <v>299</v>
      </c>
      <c r="I10" s="42" t="n">
        <f aca="false">I$4*(H$4+H$3)/(H10+H$3)</f>
        <v>0.0463514146210956</v>
      </c>
      <c r="J10" s="24" t="n">
        <v>17</v>
      </c>
      <c r="K10" s="43" t="n">
        <f aca="false">J10/660</f>
        <v>0.0257575757575758</v>
      </c>
      <c r="L10" s="44" t="n">
        <f aca="false">L$4*(K$3+K$4)/(K$3+K10)</f>
        <v>0.917880794701987</v>
      </c>
      <c r="M10" s="48" t="n">
        <v>2</v>
      </c>
      <c r="N10" s="45" t="n">
        <f aca="false">MIN(10,D10+F10+I10+L10+M10)</f>
        <v>3.28423220932308</v>
      </c>
      <c r="O10" s="41" t="n">
        <f aca="false">IF(C$5&lt;C10,_xlfn.DAYS(C10,C$5),0)*0.2</f>
        <v>0</v>
      </c>
      <c r="P10" s="12" t="n">
        <f aca="false">(1-O10)*N10</f>
        <v>3.28423220932308</v>
      </c>
      <c r="Q10" s="0" t="s">
        <v>149</v>
      </c>
    </row>
    <row r="11" customFormat="false" ht="12.8" hidden="false" customHeight="false" outlineLevel="0" collapsed="false">
      <c r="B11" s="0" t="n">
        <f aca="false">MC346A!A6</f>
        <v>118363</v>
      </c>
      <c r="C11" s="51" t="n">
        <v>43066.997662037</v>
      </c>
      <c r="D11" s="24" t="n">
        <v>2</v>
      </c>
      <c r="E11" s="24" t="n">
        <v>98</v>
      </c>
      <c r="F11" s="49" t="n">
        <f aca="false">E11/F$5*2</f>
        <v>1.96</v>
      </c>
      <c r="G11" s="24" t="n">
        <v>1092</v>
      </c>
      <c r="H11" s="42" t="n">
        <f aca="false">G11/2/E11-1</f>
        <v>4.57142857142857</v>
      </c>
      <c r="I11" s="42" t="n">
        <f aca="false">I$4*(H$4+H$3)/(H11+H$3)</f>
        <v>3.01866832607343</v>
      </c>
      <c r="J11" s="24" t="n">
        <f aca="false">4*60+25</f>
        <v>265</v>
      </c>
      <c r="K11" s="43" t="n">
        <f aca="false">J11/660</f>
        <v>0.401515151515152</v>
      </c>
      <c r="L11" s="44" t="n">
        <f aca="false">L$4*(K$3+K$4)/(K$3+K11)</f>
        <v>0.0996405463695183</v>
      </c>
      <c r="M11" s="48" t="n">
        <v>2</v>
      </c>
      <c r="N11" s="45" t="n">
        <f aca="false">MIN(10,D11+F11+I11+L11+M11)</f>
        <v>9.07830887244295</v>
      </c>
      <c r="O11" s="41" t="n">
        <f aca="false">IF(C$5&lt;C11,_xlfn.DAYS(C11,C$5),0)*0.2</f>
        <v>0</v>
      </c>
      <c r="P11" s="12" t="n">
        <f aca="false">(1-O11)*N11</f>
        <v>9.07830887244295</v>
      </c>
      <c r="Q11" s="0" t="s">
        <v>150</v>
      </c>
    </row>
    <row r="12" customFormat="false" ht="12.8" hidden="false" customHeight="false" outlineLevel="0" collapsed="false">
      <c r="B12" s="0" t="n">
        <f aca="false">MC346A!A7</f>
        <v>118827</v>
      </c>
      <c r="C12" s="51" t="n">
        <v>43066.7136921296</v>
      </c>
      <c r="D12" s="24" t="n">
        <v>2</v>
      </c>
      <c r="E12" s="24" t="n">
        <v>100</v>
      </c>
      <c r="F12" s="49" t="n">
        <f aca="false">E12/F$5*2</f>
        <v>2</v>
      </c>
      <c r="G12" s="24" t="n">
        <v>1434</v>
      </c>
      <c r="H12" s="42" t="n">
        <f aca="false">G12/2/E12-1</f>
        <v>6.17</v>
      </c>
      <c r="I12" s="42" t="n">
        <f aca="false">I$4*(H$4+H$3)/(H12+H$3)</f>
        <v>2.23909531502423</v>
      </c>
      <c r="J12" s="24" t="n">
        <v>17</v>
      </c>
      <c r="K12" s="43" t="n">
        <f aca="false">J12/660</f>
        <v>0.0257575757575758</v>
      </c>
      <c r="L12" s="44" t="n">
        <f aca="false">L$4*(K$3+K$4)/(K$3+K12)</f>
        <v>0.917880794701987</v>
      </c>
      <c r="M12" s="48" t="n">
        <v>2</v>
      </c>
      <c r="N12" s="45" t="n">
        <f aca="false">MIN(10,D12+F12+I12+L12+M12)</f>
        <v>9.15697610972622</v>
      </c>
      <c r="O12" s="41" t="n">
        <f aca="false">IF(C$5&lt;C12,_xlfn.DAYS(C12,C$5),0)*0.2</f>
        <v>0</v>
      </c>
      <c r="P12" s="12" t="n">
        <f aca="false">(1-O12)*N12</f>
        <v>9.15697610972622</v>
      </c>
      <c r="Q12" s="0" t="s">
        <v>151</v>
      </c>
    </row>
    <row r="13" customFormat="false" ht="12.8" hidden="false" customHeight="false" outlineLevel="0" collapsed="false">
      <c r="B13" s="0" t="n">
        <f aca="false">MC346A!A8</f>
        <v>119494</v>
      </c>
      <c r="C13" s="34"/>
      <c r="D13" s="24"/>
      <c r="E13" s="24"/>
      <c r="F13" s="49" t="n">
        <f aca="false">E13/F$5*2</f>
        <v>0</v>
      </c>
      <c r="G13" s="24"/>
      <c r="H13" s="42"/>
      <c r="I13" s="42"/>
      <c r="J13" s="24"/>
      <c r="K13" s="43"/>
      <c r="L13" s="44"/>
      <c r="M13" s="48"/>
      <c r="N13" s="45"/>
      <c r="O13" s="41"/>
      <c r="P13" s="12"/>
    </row>
    <row r="14" customFormat="false" ht="12.8" hidden="false" customHeight="false" outlineLevel="0" collapsed="false">
      <c r="B14" s="0" t="n">
        <f aca="false">MC346A!A9</f>
        <v>119637</v>
      </c>
      <c r="C14" s="34"/>
      <c r="D14" s="24"/>
      <c r="E14" s="24"/>
      <c r="F14" s="49" t="n">
        <f aca="false">E14/F$5*2</f>
        <v>0</v>
      </c>
      <c r="G14" s="24"/>
      <c r="H14" s="42"/>
      <c r="I14" s="42"/>
      <c r="J14" s="24"/>
      <c r="K14" s="43"/>
      <c r="L14" s="44"/>
      <c r="M14" s="48"/>
      <c r="N14" s="45"/>
      <c r="O14" s="41"/>
      <c r="P14" s="12"/>
    </row>
    <row r="15" customFormat="false" ht="12.8" hidden="false" customHeight="false" outlineLevel="0" collapsed="false">
      <c r="B15" s="0" t="n">
        <f aca="false">MC346A!A10</f>
        <v>135680</v>
      </c>
      <c r="C15" s="51" t="n">
        <v>43062.0468402778</v>
      </c>
      <c r="D15" s="24" t="n">
        <v>1.8</v>
      </c>
      <c r="E15" s="24" t="n">
        <v>100</v>
      </c>
      <c r="F15" s="49" t="n">
        <f aca="false">E15/F$5*2</f>
        <v>2</v>
      </c>
      <c r="G15" s="24" t="n">
        <v>1118</v>
      </c>
      <c r="H15" s="42" t="n">
        <f aca="false">G15/2/E15-1</f>
        <v>4.59</v>
      </c>
      <c r="I15" s="42" t="n">
        <f aca="false">I$4*(H$4+H$3)/(H15+H$3)</f>
        <v>3.00650759219089</v>
      </c>
      <c r="J15" s="24" t="n">
        <v>31</v>
      </c>
      <c r="K15" s="43" t="n">
        <f aca="false">J15/660</f>
        <v>0.046969696969697</v>
      </c>
      <c r="L15" s="44" t="n">
        <f aca="false">L$4*(K$3+K$4)/(K$3+K15)</f>
        <v>0.627149321266968</v>
      </c>
      <c r="M15" s="48" t="n">
        <v>2</v>
      </c>
      <c r="N15" s="45" t="n">
        <f aca="false">MIN(10,D15+F15+I15+L15+M15)</f>
        <v>9.43365691345786</v>
      </c>
      <c r="O15" s="41" t="n">
        <f aca="false">IF(C$5&lt;C15,_xlfn.DAYS(C15,C$5),0)*0.2</f>
        <v>0</v>
      </c>
      <c r="P15" s="12" t="n">
        <f aca="false">(1-O15)*N15</f>
        <v>9.43365691345786</v>
      </c>
      <c r="Q15" s="0" t="s">
        <v>152</v>
      </c>
    </row>
    <row r="16" customFormat="false" ht="12.8" hidden="false" customHeight="false" outlineLevel="0" collapsed="false">
      <c r="B16" s="0" t="n">
        <f aca="false">MC346A!A11</f>
        <v>135986</v>
      </c>
      <c r="C16" s="34"/>
      <c r="D16" s="24"/>
      <c r="E16" s="24"/>
      <c r="F16" s="49" t="n">
        <f aca="false">E16/F$5*2</f>
        <v>0</v>
      </c>
      <c r="G16" s="24"/>
      <c r="H16" s="42"/>
      <c r="I16" s="42"/>
      <c r="J16" s="24"/>
      <c r="K16" s="24"/>
      <c r="L16" s="24"/>
      <c r="M16" s="48"/>
      <c r="N16" s="45"/>
      <c r="O16" s="41"/>
      <c r="P16" s="12"/>
    </row>
    <row r="17" customFormat="false" ht="12.8" hidden="false" customHeight="false" outlineLevel="0" collapsed="false">
      <c r="B17" s="0" t="n">
        <f aca="false">MC346A!A12</f>
        <v>136454</v>
      </c>
      <c r="C17" s="24"/>
      <c r="D17" s="24"/>
      <c r="E17" s="24"/>
      <c r="F17" s="49" t="n">
        <f aca="false">E17/F$5*2</f>
        <v>0</v>
      </c>
      <c r="G17" s="24"/>
      <c r="H17" s="24"/>
      <c r="I17" s="24"/>
      <c r="J17" s="24"/>
      <c r="K17" s="24"/>
      <c r="L17" s="24"/>
      <c r="M17" s="48"/>
      <c r="N17" s="24"/>
      <c r="O17" s="24"/>
      <c r="P17" s="12"/>
    </row>
    <row r="18" customFormat="false" ht="12.8" hidden="false" customHeight="false" outlineLevel="0" collapsed="false">
      <c r="B18" s="0" t="n">
        <f aca="false">MC346A!A13</f>
        <v>137733</v>
      </c>
      <c r="C18" s="51" t="n">
        <v>43065.8859027778</v>
      </c>
      <c r="D18" s="24" t="n">
        <v>1.8</v>
      </c>
      <c r="E18" s="24" t="n">
        <v>6</v>
      </c>
      <c r="F18" s="49" t="n">
        <f aca="false">E18/F$5*2</f>
        <v>0.12</v>
      </c>
      <c r="G18" s="24" t="n">
        <v>714</v>
      </c>
      <c r="H18" s="42" t="n">
        <f aca="false">G18/2/E18-1</f>
        <v>58.5</v>
      </c>
      <c r="I18" s="42" t="n">
        <f aca="false">I$4*(H$4+H$3)/(H18+H$3)</f>
        <v>0.236842105263158</v>
      </c>
      <c r="J18" s="24" t="n">
        <v>20</v>
      </c>
      <c r="K18" s="43" t="n">
        <f aca="false">J18/660</f>
        <v>0.0303030303030303</v>
      </c>
      <c r="L18" s="44" t="n">
        <f aca="false">L$4*(K$3+K$4)/(K$3+K18)</f>
        <v>0.834939759036144</v>
      </c>
      <c r="M18" s="48" t="n">
        <v>2</v>
      </c>
      <c r="N18" s="45" t="n">
        <f aca="false">MIN(10,D18+F18+I18+L18+M18)</f>
        <v>4.9917818642993</v>
      </c>
      <c r="O18" s="41" t="n">
        <f aca="false">IF(C$5&lt;C18,_xlfn.DAYS(C18,C$5),0)*0.2</f>
        <v>0</v>
      </c>
      <c r="P18" s="12" t="n">
        <f aca="false">(1-O18)*N18</f>
        <v>4.9917818642993</v>
      </c>
      <c r="Q18" s="0" t="s">
        <v>153</v>
      </c>
    </row>
    <row r="19" customFormat="false" ht="12.8" hidden="false" customHeight="false" outlineLevel="0" collapsed="false">
      <c r="B19" s="0" t="n">
        <f aca="false">MC346A!A14</f>
        <v>138745</v>
      </c>
      <c r="C19" s="51" t="n">
        <v>43067.0580092593</v>
      </c>
      <c r="D19" s="24" t="n">
        <v>0.2</v>
      </c>
      <c r="E19" s="24" t="n">
        <v>50</v>
      </c>
      <c r="F19" s="49" t="n">
        <f aca="false">E19/F$5*2</f>
        <v>1</v>
      </c>
      <c r="G19" s="24" t="n">
        <v>1278</v>
      </c>
      <c r="H19" s="42" t="n">
        <f aca="false">G19/2/E19-1</f>
        <v>11.78</v>
      </c>
      <c r="I19" s="42" t="n">
        <f aca="false">I$4*(H$4+H$3)/(H19+H$3)</f>
        <v>1.17457627118644</v>
      </c>
      <c r="J19" s="24" t="n">
        <v>15</v>
      </c>
      <c r="K19" s="43" t="n">
        <f aca="false">J19/660</f>
        <v>0.0227272727272727</v>
      </c>
      <c r="L19" s="44" t="n">
        <f aca="false">L$4*(K$3+K$4)/(K$3+K19)</f>
        <v>0.982978723404255</v>
      </c>
      <c r="M19" s="48" t="n">
        <v>2</v>
      </c>
      <c r="N19" s="45" t="n">
        <f aca="false">MIN(10,D19+F19+I19+L19+M19)</f>
        <v>5.3575549945907</v>
      </c>
      <c r="O19" s="41" t="n">
        <f aca="false">IF(C$5&lt;C19,_xlfn.DAYS(C19,C$5),0)*0.2</f>
        <v>0.0117407407407882</v>
      </c>
      <c r="P19" s="12" t="n">
        <f aca="false">(1-O19)*N19</f>
        <v>5.29465333039469</v>
      </c>
      <c r="Q19" s="0" t="s">
        <v>154</v>
      </c>
    </row>
    <row r="20" customFormat="false" ht="12.8" hidden="false" customHeight="false" outlineLevel="0" collapsed="false">
      <c r="B20" s="0" t="n">
        <f aca="false">MC346A!A15</f>
        <v>138771</v>
      </c>
      <c r="C20" s="51" t="n">
        <v>43066.9449074074</v>
      </c>
      <c r="D20" s="24" t="n">
        <v>1.5</v>
      </c>
      <c r="E20" s="24" t="n">
        <v>100</v>
      </c>
      <c r="F20" s="49" t="n">
        <f aca="false">E20/F$5*2</f>
        <v>2</v>
      </c>
      <c r="G20" s="24" t="n">
        <v>2356</v>
      </c>
      <c r="H20" s="42" t="n">
        <f aca="false">G20/2/E20-1</f>
        <v>10.78</v>
      </c>
      <c r="I20" s="42" t="n">
        <f aca="false">I$4*(H$4+H$3)/(H20+H$3)</f>
        <v>1.28333333333333</v>
      </c>
      <c r="J20" s="24" t="n">
        <v>25</v>
      </c>
      <c r="K20" s="43" t="n">
        <f aca="false">J20/660</f>
        <v>0.0378787878787879</v>
      </c>
      <c r="L20" s="44" t="n">
        <f aca="false">L$4*(K$3+K$4)/(K$3+K20)</f>
        <v>0.72565445026178</v>
      </c>
      <c r="M20" s="48" t="n">
        <v>2</v>
      </c>
      <c r="N20" s="45" t="n">
        <f aca="false">MIN(10,D20+F20+I20+L20+M20)</f>
        <v>7.50898778359511</v>
      </c>
      <c r="O20" s="41" t="n">
        <f aca="false">IF(C$5&lt;C20,_xlfn.DAYS(C20,C$5),0)*0.2</f>
        <v>0</v>
      </c>
      <c r="P20" s="12" t="n">
        <f aca="false">(1-O20)*N20</f>
        <v>7.50898778359511</v>
      </c>
      <c r="Q20" s="0" t="s">
        <v>155</v>
      </c>
    </row>
    <row r="21" customFormat="false" ht="12.8" hidden="false" customHeight="false" outlineLevel="0" collapsed="false">
      <c r="B21" s="0" t="n">
        <f aca="false">MC346A!A16</f>
        <v>145510</v>
      </c>
      <c r="C21" s="24"/>
      <c r="D21" s="24"/>
      <c r="E21" s="24"/>
      <c r="F21" s="49" t="n">
        <f aca="false">E21/F$5*2</f>
        <v>0</v>
      </c>
      <c r="G21" s="24"/>
      <c r="H21" s="24"/>
      <c r="I21" s="24"/>
      <c r="J21" s="24"/>
      <c r="K21" s="24"/>
      <c r="L21" s="24"/>
      <c r="M21" s="48"/>
      <c r="N21" s="24"/>
      <c r="O21" s="24"/>
      <c r="P21" s="12"/>
    </row>
    <row r="22" customFormat="false" ht="12.8" hidden="false" customHeight="false" outlineLevel="0" collapsed="false">
      <c r="B22" s="0" t="n">
        <f aca="false">MC346A!A17</f>
        <v>145552</v>
      </c>
      <c r="C22" s="51" t="n">
        <v>43055.1701388889</v>
      </c>
      <c r="D22" s="24" t="n">
        <v>0.3</v>
      </c>
      <c r="E22" s="24" t="n">
        <v>72</v>
      </c>
      <c r="F22" s="49" t="n">
        <f aca="false">E22/F$5*2</f>
        <v>1.44</v>
      </c>
      <c r="G22" s="24" t="n">
        <v>3750</v>
      </c>
      <c r="H22" s="42" t="n">
        <f aca="false">G22/2/E22-1</f>
        <v>25.0416666666667</v>
      </c>
      <c r="I22" s="42" t="n">
        <f aca="false">I$4*(H$4+H$3)/(H22+H$3)</f>
        <v>0.553035844915874</v>
      </c>
      <c r="J22" s="24" t="n">
        <v>22</v>
      </c>
      <c r="K22" s="43" t="n">
        <f aca="false">J22/660</f>
        <v>0.0333333333333333</v>
      </c>
      <c r="L22" s="44" t="n">
        <f aca="false">L$4*(K$3+K$4)/(K$3+K22)</f>
        <v>0.7875</v>
      </c>
      <c r="M22" s="48" t="n">
        <v>2</v>
      </c>
      <c r="N22" s="45" t="n">
        <f aca="false">MIN(10,D22+F22+I22+L22+M22)</f>
        <v>5.08053584491587</v>
      </c>
      <c r="O22" s="41" t="n">
        <f aca="false">IF(C$5&lt;C22,_xlfn.DAYS(C22,C$5),0)*0.2</f>
        <v>0</v>
      </c>
      <c r="P22" s="12" t="n">
        <f aca="false">(1-O22)*N22</f>
        <v>5.08053584491587</v>
      </c>
      <c r="Q22" s="0" t="s">
        <v>156</v>
      </c>
    </row>
    <row r="23" customFormat="false" ht="12.8" hidden="false" customHeight="false" outlineLevel="0" collapsed="false">
      <c r="B23" s="0" t="n">
        <f aca="false">MC346A!A18</f>
        <v>145763</v>
      </c>
      <c r="C23" s="24"/>
      <c r="D23" s="24"/>
      <c r="E23" s="24"/>
      <c r="F23" s="49" t="n">
        <f aca="false">E23/F$5*2</f>
        <v>0</v>
      </c>
      <c r="G23" s="24"/>
      <c r="H23" s="24"/>
      <c r="I23" s="24"/>
      <c r="J23" s="24"/>
      <c r="K23" s="24"/>
      <c r="L23" s="24"/>
      <c r="M23" s="48"/>
      <c r="N23" s="24"/>
      <c r="O23" s="24"/>
      <c r="P23" s="12"/>
    </row>
    <row r="24" customFormat="false" ht="12.8" hidden="false" customHeight="false" outlineLevel="0" collapsed="false">
      <c r="B24" s="0" t="n">
        <f aca="false">MC346A!A19</f>
        <v>146040</v>
      </c>
      <c r="C24" s="51" t="n">
        <v>43066.7520138889</v>
      </c>
      <c r="D24" s="24" t="n">
        <v>1.4</v>
      </c>
      <c r="E24" s="24" t="n">
        <v>100</v>
      </c>
      <c r="F24" s="49" t="n">
        <f aca="false">E24/F$5*2</f>
        <v>2</v>
      </c>
      <c r="G24" s="24" t="n">
        <v>3382</v>
      </c>
      <c r="H24" s="42" t="n">
        <f aca="false">G24/2/E24-1</f>
        <v>15.91</v>
      </c>
      <c r="I24" s="42" t="n">
        <f aca="false">I$4*(H$4+H$3)/(H24+H$3)</f>
        <v>0.870056497175141</v>
      </c>
      <c r="J24" s="24" t="n">
        <v>21</v>
      </c>
      <c r="K24" s="43" t="n">
        <f aca="false">J24/660</f>
        <v>0.0318181818181818</v>
      </c>
      <c r="L24" s="44" t="n">
        <f aca="false">L$4*(K$3+K$4)/(K$3+K24)</f>
        <v>0.810526315789473</v>
      </c>
      <c r="M24" s="48" t="n">
        <v>2</v>
      </c>
      <c r="N24" s="45" t="n">
        <f aca="false">MIN(10,D24+F24+I24+L24+M24)</f>
        <v>7.08058281296461</v>
      </c>
      <c r="O24" s="41" t="n">
        <f aca="false">IF(C$5&lt;C24,_xlfn.DAYS(C24,C$5),0)*0.2</f>
        <v>0</v>
      </c>
      <c r="P24" s="12" t="n">
        <f aca="false">(1-O24)*N24</f>
        <v>7.08058281296461</v>
      </c>
      <c r="Q24" s="0" t="s">
        <v>157</v>
      </c>
    </row>
    <row r="25" customFormat="false" ht="12.8" hidden="false" customHeight="false" outlineLevel="0" collapsed="false">
      <c r="B25" s="0" t="n">
        <f aca="false">MC346A!A20</f>
        <v>146098</v>
      </c>
      <c r="C25" s="51" t="n">
        <v>43065.9492708333</v>
      </c>
      <c r="D25" s="24" t="n">
        <v>1.2</v>
      </c>
      <c r="E25" s="24" t="n">
        <v>100</v>
      </c>
      <c r="F25" s="49" t="n">
        <f aca="false">E25/F$5*2</f>
        <v>2</v>
      </c>
      <c r="G25" s="24" t="n">
        <v>1412</v>
      </c>
      <c r="H25" s="42" t="n">
        <f aca="false">G25/2/E25-1</f>
        <v>6.06</v>
      </c>
      <c r="I25" s="42" t="n">
        <f aca="false">I$4*(H$4+H$3)/(H25+H$3)</f>
        <v>2.27960526315789</v>
      </c>
      <c r="J25" s="24" t="n">
        <v>27</v>
      </c>
      <c r="K25" s="43" t="n">
        <f aca="false">J25/660</f>
        <v>0.0409090909090909</v>
      </c>
      <c r="L25" s="44" t="n">
        <f aca="false">L$4*(K$3+K$4)/(K$3+K25)</f>
        <v>0.68955223880597</v>
      </c>
      <c r="M25" s="48" t="n">
        <v>2</v>
      </c>
      <c r="N25" s="45" t="n">
        <f aca="false">MIN(10,D25+F25+I25+L25+M25)</f>
        <v>8.16915750196386</v>
      </c>
      <c r="O25" s="41" t="n">
        <f aca="false">IF(C$5&lt;C25,_xlfn.DAYS(C25,C$5),0)*0.2</f>
        <v>0</v>
      </c>
      <c r="P25" s="12" t="n">
        <f aca="false">(1-O25)*N25</f>
        <v>8.16915750196386</v>
      </c>
      <c r="Q25" s="0" t="s">
        <v>158</v>
      </c>
    </row>
    <row r="26" customFormat="false" ht="12.8" hidden="false" customHeight="false" outlineLevel="0" collapsed="false">
      <c r="B26" s="0" t="n">
        <f aca="false">MC346A!A21</f>
        <v>146310</v>
      </c>
      <c r="C26" s="51" t="n">
        <v>43066.705</v>
      </c>
      <c r="D26" s="24" t="n">
        <v>2</v>
      </c>
      <c r="E26" s="24" t="n">
        <v>100</v>
      </c>
      <c r="F26" s="49" t="n">
        <f aca="false">E26/F$5*2</f>
        <v>2</v>
      </c>
      <c r="G26" s="24" t="n">
        <v>1412</v>
      </c>
      <c r="H26" s="42" t="n">
        <f aca="false">G26/2/E26-1</f>
        <v>6.06</v>
      </c>
      <c r="I26" s="42" t="n">
        <f aca="false">I$4*(H$4+H$3)/(H26+H$3)</f>
        <v>2.27960526315789</v>
      </c>
      <c r="J26" s="24" t="n">
        <v>18</v>
      </c>
      <c r="K26" s="43" t="n">
        <f aca="false">J26/660</f>
        <v>0.0272727272727273</v>
      </c>
      <c r="L26" s="44" t="n">
        <f aca="false">L$4*(K$3+K$4)/(K$3+K26)</f>
        <v>0.888461538461538</v>
      </c>
      <c r="M26" s="48" t="n">
        <v>2</v>
      </c>
      <c r="N26" s="45" t="n">
        <f aca="false">MIN(10,D26+F26+I26+L26+M26)</f>
        <v>9.16806680161943</v>
      </c>
      <c r="O26" s="41" t="n">
        <f aca="false">IF(C$5&lt;C26,_xlfn.DAYS(C26,C$5),0)*0.2</f>
        <v>0</v>
      </c>
      <c r="P26" s="12" t="n">
        <f aca="false">(1-O26)*N26</f>
        <v>9.16806680161943</v>
      </c>
      <c r="Q26" s="0" t="s">
        <v>126</v>
      </c>
    </row>
    <row r="27" customFormat="false" ht="12.8" hidden="false" customHeight="false" outlineLevel="0" collapsed="false">
      <c r="B27" s="0" t="n">
        <f aca="false">MC346A!A22</f>
        <v>146318</v>
      </c>
      <c r="C27" s="34"/>
      <c r="D27" s="24"/>
      <c r="E27" s="24"/>
      <c r="F27" s="49" t="n">
        <f aca="false">E27/F$5*2</f>
        <v>0</v>
      </c>
      <c r="G27" s="24"/>
      <c r="H27" s="24"/>
      <c r="I27" s="42"/>
      <c r="J27" s="24"/>
      <c r="K27" s="24"/>
      <c r="L27" s="24"/>
      <c r="M27" s="48"/>
      <c r="N27" s="45"/>
      <c r="O27" s="41"/>
      <c r="P27" s="12"/>
    </row>
    <row r="28" customFormat="false" ht="12.8" hidden="false" customHeight="false" outlineLevel="0" collapsed="false">
      <c r="B28" s="0" t="n">
        <f aca="false">MC346A!A23</f>
        <v>146383</v>
      </c>
      <c r="C28" s="24"/>
      <c r="D28" s="24"/>
      <c r="E28" s="24"/>
      <c r="F28" s="49" t="n">
        <f aca="false">E28/F$5*2</f>
        <v>0</v>
      </c>
      <c r="G28" s="24"/>
      <c r="H28" s="24"/>
      <c r="I28" s="24"/>
      <c r="J28" s="24"/>
      <c r="K28" s="24"/>
      <c r="L28" s="24"/>
      <c r="M28" s="48"/>
      <c r="N28" s="24"/>
      <c r="O28" s="24"/>
      <c r="P28" s="12"/>
    </row>
    <row r="29" customFormat="false" ht="12.8" hidden="false" customHeight="false" outlineLevel="0" collapsed="false">
      <c r="B29" s="0" t="n">
        <f aca="false">MC346A!A24</f>
        <v>146752</v>
      </c>
      <c r="C29" s="34"/>
      <c r="D29" s="24"/>
      <c r="E29" s="24"/>
      <c r="F29" s="49" t="n">
        <f aca="false">E29/F$5*2</f>
        <v>0</v>
      </c>
      <c r="G29" s="24"/>
      <c r="H29" s="42"/>
      <c r="I29" s="42"/>
      <c r="J29" s="24"/>
      <c r="K29" s="43"/>
      <c r="L29" s="44"/>
      <c r="M29" s="48"/>
      <c r="N29" s="45"/>
      <c r="O29" s="41"/>
      <c r="P29" s="12"/>
    </row>
    <row r="30" customFormat="false" ht="12.8" hidden="false" customHeight="false" outlineLevel="0" collapsed="false">
      <c r="B30" s="0" t="n">
        <f aca="false">MC346A!A25</f>
        <v>147338</v>
      </c>
      <c r="C30" s="51" t="n">
        <v>43053.3740856481</v>
      </c>
      <c r="D30" s="24" t="n">
        <v>1.6</v>
      </c>
      <c r="E30" s="24" t="n">
        <v>100</v>
      </c>
      <c r="F30" s="49" t="n">
        <f aca="false">E30/F$5*2</f>
        <v>2</v>
      </c>
      <c r="G30" s="24" t="n">
        <v>1412</v>
      </c>
      <c r="H30" s="42" t="n">
        <f aca="false">G30/2/E30-1</f>
        <v>6.06</v>
      </c>
      <c r="I30" s="42" t="n">
        <f aca="false">I$4*(H$4+H$3)/(H30+H$3)</f>
        <v>2.27960526315789</v>
      </c>
      <c r="J30" s="24" t="n">
        <v>22</v>
      </c>
      <c r="K30" s="43" t="n">
        <f aca="false">J30/660</f>
        <v>0.0333333333333333</v>
      </c>
      <c r="L30" s="44" t="n">
        <f aca="false">L$4*(K$3+K$4)/(K$3+K30)</f>
        <v>0.7875</v>
      </c>
      <c r="M30" s="48" t="n">
        <v>2</v>
      </c>
      <c r="N30" s="45" t="n">
        <f aca="false">MIN(10,D30+F30+I30+L30+M30)</f>
        <v>8.6671052631579</v>
      </c>
      <c r="O30" s="41" t="n">
        <f aca="false">IF(C$5&lt;C30,_xlfn.DAYS(C30,C$5),0)*0.2</f>
        <v>0</v>
      </c>
      <c r="P30" s="12" t="n">
        <f aca="false">(1-O30)*N30</f>
        <v>8.6671052631579</v>
      </c>
      <c r="Q30" s="0" t="s">
        <v>159</v>
      </c>
    </row>
    <row r="31" customFormat="false" ht="12.8" hidden="false" customHeight="false" outlineLevel="0" collapsed="false">
      <c r="B31" s="0" t="n">
        <f aca="false">MC346A!A26</f>
        <v>148246</v>
      </c>
      <c r="C31" s="51" t="n">
        <v>43066.9355671296</v>
      </c>
      <c r="D31" s="24" t="n">
        <v>1.8</v>
      </c>
      <c r="E31" s="24" t="n">
        <v>100</v>
      </c>
      <c r="F31" s="49" t="n">
        <f aca="false">E31/F$5*2</f>
        <v>2</v>
      </c>
      <c r="G31" s="24" t="n">
        <v>2770</v>
      </c>
      <c r="H31" s="42" t="n">
        <f aca="false">G31/2/E31-1</f>
        <v>12.85</v>
      </c>
      <c r="I31" s="42" t="n">
        <f aca="false">I$4*(H$4+H$3)/(H31+H$3)</f>
        <v>1.07692307692308</v>
      </c>
      <c r="J31" s="24" t="n">
        <v>14</v>
      </c>
      <c r="K31" s="43" t="n">
        <f aca="false">J31/660</f>
        <v>0.0212121212121212</v>
      </c>
      <c r="L31" s="44" t="n">
        <f aca="false">L$4*(K$3+K$4)/(K$3+K31)</f>
        <v>1.01911764705882</v>
      </c>
      <c r="M31" s="48" t="n">
        <v>2</v>
      </c>
      <c r="N31" s="45" t="n">
        <f aca="false">MIN(10,D31+F31+I31+L31+M31)</f>
        <v>7.8960407239819</v>
      </c>
      <c r="O31" s="41" t="n">
        <f aca="false">IF(C$5&lt;C31,_xlfn.DAYS(C31,C$5),0)*0.2</f>
        <v>0</v>
      </c>
      <c r="P31" s="12" t="n">
        <f aca="false">(1-O31)*N31</f>
        <v>7.8960407239819</v>
      </c>
      <c r="Q31" s="0" t="s">
        <v>160</v>
      </c>
    </row>
    <row r="32" customFormat="false" ht="12.8" hidden="false" customHeight="false" outlineLevel="0" collapsed="false">
      <c r="B32" s="0" t="n">
        <f aca="false">MC346A!A27</f>
        <v>148387</v>
      </c>
      <c r="C32" s="24"/>
      <c r="D32" s="24"/>
      <c r="E32" s="24"/>
      <c r="F32" s="49" t="n">
        <f aca="false">E32/F$5*2</f>
        <v>0</v>
      </c>
      <c r="G32" s="24"/>
      <c r="H32" s="24"/>
      <c r="I32" s="24"/>
      <c r="J32" s="24"/>
      <c r="K32" s="24"/>
      <c r="L32" s="24"/>
      <c r="M32" s="48"/>
      <c r="N32" s="24"/>
      <c r="O32" s="24"/>
      <c r="P32" s="12"/>
    </row>
    <row r="33" customFormat="false" ht="12.8" hidden="false" customHeight="false" outlineLevel="0" collapsed="false">
      <c r="B33" s="0" t="n">
        <f aca="false">MC346A!A28</f>
        <v>149014</v>
      </c>
      <c r="C33" s="24"/>
      <c r="D33" s="24"/>
      <c r="E33" s="24"/>
      <c r="F33" s="49" t="n">
        <f aca="false">E33/F$5*2</f>
        <v>0</v>
      </c>
      <c r="G33" s="24"/>
      <c r="H33" s="24"/>
      <c r="I33" s="24"/>
      <c r="J33" s="24"/>
      <c r="K33" s="24"/>
      <c r="L33" s="24"/>
      <c r="M33" s="48"/>
      <c r="N33" s="24"/>
      <c r="O33" s="24"/>
      <c r="P33" s="12"/>
    </row>
    <row r="34" customFormat="false" ht="12.8" hidden="false" customHeight="false" outlineLevel="0" collapsed="false">
      <c r="B34" s="0" t="n">
        <f aca="false">MC346A!A29</f>
        <v>150604</v>
      </c>
      <c r="C34" s="51" t="n">
        <v>43054.7009259259</v>
      </c>
      <c r="D34" s="24" t="n">
        <v>1.8</v>
      </c>
      <c r="E34" s="24" t="n">
        <v>100</v>
      </c>
      <c r="F34" s="49" t="n">
        <f aca="false">E34/F$5*2</f>
        <v>2</v>
      </c>
      <c r="G34" s="24" t="n">
        <v>1412</v>
      </c>
      <c r="H34" s="42" t="n">
        <f aca="false">G34/2/E34-1</f>
        <v>6.06</v>
      </c>
      <c r="I34" s="42" t="n">
        <f aca="false">I$4*(H$4+H$3)/(H34+H$3)</f>
        <v>2.27960526315789</v>
      </c>
      <c r="J34" s="24" t="n">
        <v>17</v>
      </c>
      <c r="K34" s="43" t="n">
        <f aca="false">J34/660</f>
        <v>0.0257575757575758</v>
      </c>
      <c r="L34" s="44" t="n">
        <f aca="false">L$4*(K$3+K$4)/(K$3+K34)</f>
        <v>0.917880794701987</v>
      </c>
      <c r="M34" s="48" t="n">
        <v>2</v>
      </c>
      <c r="N34" s="45" t="n">
        <f aca="false">MIN(10,D34+F34+I34+L34+M34)</f>
        <v>8.99748605785988</v>
      </c>
      <c r="O34" s="41" t="n">
        <f aca="false">IF(C$5&lt;C34,_xlfn.DAYS(C34,C$5),0)*0.2</f>
        <v>0</v>
      </c>
      <c r="P34" s="12" t="n">
        <f aca="false">(1-O34)*N34</f>
        <v>8.99748605785988</v>
      </c>
      <c r="Q34" s="0" t="s">
        <v>161</v>
      </c>
    </row>
    <row r="35" customFormat="false" ht="12.8" hidden="false" customHeight="false" outlineLevel="0" collapsed="false">
      <c r="B35" s="0" t="n">
        <f aca="false">MC346A!A30</f>
        <v>150630</v>
      </c>
      <c r="C35" s="51" t="n">
        <v>43068.4375115741</v>
      </c>
      <c r="D35" s="24" t="n">
        <v>1.6</v>
      </c>
      <c r="E35" s="24" t="n">
        <v>45</v>
      </c>
      <c r="F35" s="49" t="n">
        <f aca="false">E35/F$5*2</f>
        <v>0.9</v>
      </c>
      <c r="G35" s="24" t="n">
        <v>1086</v>
      </c>
      <c r="H35" s="42" t="n">
        <f aca="false">G35/2/E35-1</f>
        <v>11.0666666666667</v>
      </c>
      <c r="I35" s="42" t="n">
        <f aca="false">I$4*(H$4+H$3)/(H35+H$3)</f>
        <v>1.2501503307276</v>
      </c>
      <c r="J35" s="24" t="n">
        <v>19</v>
      </c>
      <c r="K35" s="43" t="n">
        <f aca="false">J35/660</f>
        <v>0.0287878787878788</v>
      </c>
      <c r="L35" s="44" t="n">
        <f aca="false">L$4*(K$3+K$4)/(K$3+K35)</f>
        <v>0.860869565217391</v>
      </c>
      <c r="M35" s="48" t="n">
        <v>2</v>
      </c>
      <c r="N35" s="45" t="n">
        <f aca="false">MIN(10,D35+F35+I35+L35+M35)</f>
        <v>6.61101989594499</v>
      </c>
      <c r="O35" s="41" t="n">
        <f aca="false">IF(C$5&lt;C35,_xlfn.DAYS(C35,C$5),0)*0.2</f>
        <v>0.287641203700332</v>
      </c>
      <c r="P35" s="12" t="n">
        <f aca="false">(1-O35)*N35</f>
        <v>4.70941817538853</v>
      </c>
      <c r="Q35" s="0" t="s">
        <v>162</v>
      </c>
    </row>
    <row r="36" customFormat="false" ht="12.8" hidden="false" customHeight="false" outlineLevel="0" collapsed="false">
      <c r="B36" s="0" t="n">
        <f aca="false">MC346A!A31</f>
        <v>155299</v>
      </c>
      <c r="C36" s="51" t="n">
        <v>43062.4658912037</v>
      </c>
      <c r="D36" s="24" t="n">
        <v>1.8</v>
      </c>
      <c r="E36" s="24" t="n">
        <v>99</v>
      </c>
      <c r="F36" s="49" t="n">
        <f aca="false">E36/F$5*2</f>
        <v>1.98</v>
      </c>
      <c r="G36" s="24" t="n">
        <v>2630</v>
      </c>
      <c r="H36" s="42" t="n">
        <f aca="false">G36/2/E36-1</f>
        <v>12.2828282828283</v>
      </c>
      <c r="I36" s="42" t="n">
        <f aca="false">I$4*(H$4+H$3)/(H36+H$3)</f>
        <v>1.12657022282796</v>
      </c>
      <c r="J36" s="24" t="n">
        <v>31</v>
      </c>
      <c r="K36" s="43" t="n">
        <f aca="false">J36/660</f>
        <v>0.046969696969697</v>
      </c>
      <c r="L36" s="44" t="n">
        <f aca="false">L$4*(K$3+K$4)/(K$3+K36)</f>
        <v>0.627149321266968</v>
      </c>
      <c r="M36" s="48" t="n">
        <v>2</v>
      </c>
      <c r="N36" s="45" t="n">
        <f aca="false">MIN(10,D36+F36+I36+L36+M36)</f>
        <v>7.53371954409493</v>
      </c>
      <c r="O36" s="41" t="n">
        <f aca="false">IF(C$5&lt;C36,_xlfn.DAYS(C36,C$5),0)*0.2</f>
        <v>0</v>
      </c>
      <c r="P36" s="12" t="n">
        <f aca="false">(1-O36)*N36</f>
        <v>7.53371954409493</v>
      </c>
      <c r="Q36" s="0" t="s">
        <v>163</v>
      </c>
    </row>
    <row r="37" customFormat="false" ht="12.8" hidden="false" customHeight="false" outlineLevel="0" collapsed="false">
      <c r="B37" s="0" t="n">
        <f aca="false">MC346A!A32</f>
        <v>155646</v>
      </c>
      <c r="C37" s="51" t="n">
        <v>43067.6200115741</v>
      </c>
      <c r="D37" s="24" t="n">
        <v>0.7</v>
      </c>
      <c r="E37" s="24" t="n">
        <v>1</v>
      </c>
      <c r="F37" s="49" t="n">
        <f aca="false">E37/F$5*2</f>
        <v>0.02</v>
      </c>
      <c r="G37" s="24" t="n">
        <v>10000</v>
      </c>
      <c r="H37" s="42" t="n">
        <f aca="false">G37/2/E37-1</f>
        <v>4999</v>
      </c>
      <c r="I37" s="42" t="n">
        <f aca="false">I$4*(H$4+H$3)/(H37+H$3)</f>
        <v>0.00277254341851003</v>
      </c>
      <c r="J37" s="24" t="n">
        <v>1000</v>
      </c>
      <c r="K37" s="43" t="n">
        <f aca="false">J37/660</f>
        <v>1.51515151515152</v>
      </c>
      <c r="L37" s="44" t="n">
        <f aca="false">L$4*(K$3+K$4)/(K$3+K37)</f>
        <v>0.0273588630082906</v>
      </c>
      <c r="M37" s="48" t="n">
        <v>0</v>
      </c>
      <c r="N37" s="45" t="n">
        <f aca="false">MIN(10,D37+F37+I37+L37+M37)</f>
        <v>0.750131406426801</v>
      </c>
      <c r="O37" s="41" t="n">
        <f aca="false">IF(C$5&lt;C37,_xlfn.DAYS(C37,C$5),0)*0.2</f>
        <v>0.124141203700856</v>
      </c>
      <c r="P37" s="12" t="n">
        <f aca="false">(1-O37)*N37</f>
        <v>0.657009190699162</v>
      </c>
      <c r="Q37" s="0" t="s">
        <v>164</v>
      </c>
    </row>
    <row r="38" customFormat="false" ht="12.8" hidden="false" customHeight="false" outlineLevel="0" collapsed="false">
      <c r="B38" s="0" t="n">
        <f aca="false">MC346A!A33</f>
        <v>155943</v>
      </c>
      <c r="C38" s="51" t="n">
        <v>43066.9148958333</v>
      </c>
      <c r="D38" s="24" t="n">
        <v>1.9</v>
      </c>
      <c r="E38" s="24" t="n">
        <v>100</v>
      </c>
      <c r="F38" s="49" t="n">
        <f aca="false">E38/F$5*2</f>
        <v>2</v>
      </c>
      <c r="G38" s="24" t="n">
        <v>1412</v>
      </c>
      <c r="H38" s="42" t="n">
        <f aca="false">G38/2/E38-1</f>
        <v>6.06</v>
      </c>
      <c r="I38" s="42" t="n">
        <f aca="false">I$4*(H$4+H$3)/(H38+H$3)</f>
        <v>2.27960526315789</v>
      </c>
      <c r="J38" s="24" t="n">
        <v>16</v>
      </c>
      <c r="K38" s="43" t="n">
        <f aca="false">J38/660</f>
        <v>0.0242424242424242</v>
      </c>
      <c r="L38" s="44" t="n">
        <f aca="false">L$4*(K$3+K$4)/(K$3+K38)</f>
        <v>0.949315068493151</v>
      </c>
      <c r="M38" s="48" t="n">
        <v>2</v>
      </c>
      <c r="N38" s="45" t="n">
        <f aca="false">MIN(10,D38+F38+I38+L38+M38)</f>
        <v>9.12892033165105</v>
      </c>
      <c r="O38" s="41" t="n">
        <f aca="false">IF(C$5&lt;C38,_xlfn.DAYS(C38,C$5),0)*0.2</f>
        <v>0</v>
      </c>
      <c r="P38" s="12" t="n">
        <f aca="false">(1-O38)*N38</f>
        <v>9.12892033165105</v>
      </c>
      <c r="Q38" s="0" t="s">
        <v>165</v>
      </c>
    </row>
    <row r="39" customFormat="false" ht="12.8" hidden="false" customHeight="false" outlineLevel="0" collapsed="false">
      <c r="B39" s="0" t="n">
        <f aca="false">MC346A!A34</f>
        <v>155976</v>
      </c>
      <c r="C39" s="24"/>
      <c r="D39" s="24"/>
      <c r="E39" s="24"/>
      <c r="F39" s="49" t="n">
        <f aca="false">E39/F$5*2</f>
        <v>0</v>
      </c>
      <c r="G39" s="24"/>
      <c r="H39" s="24"/>
      <c r="I39" s="24"/>
      <c r="J39" s="24"/>
      <c r="K39" s="24"/>
      <c r="L39" s="24"/>
      <c r="M39" s="48"/>
      <c r="N39" s="24"/>
      <c r="O39" s="24"/>
      <c r="P39" s="12"/>
    </row>
    <row r="40" customFormat="false" ht="12.8" hidden="false" customHeight="false" outlineLevel="0" collapsed="false">
      <c r="B40" s="0" t="n">
        <f aca="false">MC346A!A35</f>
        <v>156362</v>
      </c>
      <c r="C40" s="24"/>
      <c r="D40" s="24"/>
      <c r="E40" s="24"/>
      <c r="F40" s="49" t="n">
        <f aca="false">E40/F$5*2</f>
        <v>0</v>
      </c>
      <c r="G40" s="24"/>
      <c r="H40" s="24"/>
      <c r="I40" s="24"/>
      <c r="J40" s="24"/>
      <c r="K40" s="24"/>
      <c r="L40" s="24"/>
      <c r="M40" s="48"/>
      <c r="N40" s="24"/>
      <c r="O40" s="24"/>
      <c r="P40" s="12"/>
    </row>
    <row r="41" customFormat="false" ht="12.8" hidden="false" customHeight="false" outlineLevel="0" collapsed="false">
      <c r="B41" s="0" t="n">
        <f aca="false">MC346A!A36</f>
        <v>156405</v>
      </c>
      <c r="C41" s="24"/>
      <c r="D41" s="24"/>
      <c r="E41" s="24"/>
      <c r="F41" s="49" t="n">
        <f aca="false">E41/F$5*2</f>
        <v>0</v>
      </c>
      <c r="G41" s="24"/>
      <c r="H41" s="24"/>
      <c r="I41" s="24"/>
      <c r="J41" s="24"/>
      <c r="K41" s="24"/>
      <c r="L41" s="24"/>
      <c r="M41" s="48"/>
      <c r="N41" s="24"/>
      <c r="O41" s="24"/>
      <c r="P41" s="12"/>
    </row>
    <row r="42" customFormat="false" ht="12.8" hidden="false" customHeight="false" outlineLevel="0" collapsed="false">
      <c r="B42" s="0" t="n">
        <f aca="false">MC346A!A37</f>
        <v>158336</v>
      </c>
      <c r="C42" s="24"/>
      <c r="D42" s="24"/>
      <c r="E42" s="24"/>
      <c r="F42" s="49" t="n">
        <f aca="false">E42/F$5*2</f>
        <v>0</v>
      </c>
      <c r="G42" s="24"/>
      <c r="H42" s="24"/>
      <c r="I42" s="24"/>
      <c r="J42" s="24"/>
      <c r="K42" s="24"/>
      <c r="L42" s="24"/>
      <c r="M42" s="48"/>
      <c r="N42" s="24"/>
      <c r="O42" s="24"/>
      <c r="P42" s="12"/>
    </row>
    <row r="43" customFormat="false" ht="12.8" hidden="false" customHeight="false" outlineLevel="0" collapsed="false">
      <c r="B43" s="0" t="n">
        <f aca="false">MC346A!A38</f>
        <v>160013</v>
      </c>
      <c r="C43" s="24"/>
      <c r="D43" s="24"/>
      <c r="E43" s="24"/>
      <c r="F43" s="49" t="n">
        <f aca="false">E43/F$5*2</f>
        <v>0</v>
      </c>
      <c r="G43" s="24"/>
      <c r="H43" s="24"/>
      <c r="I43" s="24"/>
      <c r="J43" s="24"/>
      <c r="K43" s="24"/>
      <c r="L43" s="24"/>
      <c r="M43" s="48"/>
      <c r="N43" s="24"/>
      <c r="O43" s="24"/>
      <c r="P43" s="12"/>
    </row>
    <row r="44" customFormat="false" ht="12.8" hidden="false" customHeight="false" outlineLevel="0" collapsed="false">
      <c r="B44" s="0" t="n">
        <f aca="false">MC346A!A39</f>
        <v>160160</v>
      </c>
      <c r="C44" s="24"/>
      <c r="D44" s="24"/>
      <c r="E44" s="24"/>
      <c r="F44" s="49" t="n">
        <f aca="false">E44/F$5*2</f>
        <v>0</v>
      </c>
      <c r="G44" s="24"/>
      <c r="H44" s="24"/>
      <c r="I44" s="24"/>
      <c r="J44" s="24"/>
      <c r="K44" s="24"/>
      <c r="L44" s="24"/>
      <c r="M44" s="48"/>
      <c r="N44" s="24"/>
      <c r="O44" s="24"/>
      <c r="P44" s="12"/>
    </row>
    <row r="45" customFormat="false" ht="12.8" hidden="false" customHeight="false" outlineLevel="0" collapsed="false">
      <c r="B45" s="0" t="n">
        <f aca="false">MC346A!A40</f>
        <v>164213</v>
      </c>
      <c r="C45" s="51" t="n">
        <v>43066.8896064815</v>
      </c>
      <c r="D45" s="24" t="n">
        <v>2</v>
      </c>
      <c r="E45" s="24" t="n">
        <v>26</v>
      </c>
      <c r="F45" s="49" t="n">
        <f aca="false">E45/F$5*2</f>
        <v>0.52</v>
      </c>
      <c r="G45" s="24" t="n">
        <v>764</v>
      </c>
      <c r="H45" s="42" t="n">
        <f aca="false">G45/2/E45-1</f>
        <v>13.6923076923077</v>
      </c>
      <c r="I45" s="42" t="n">
        <f aca="false">I$4*(H$4+H$3)/(H45+H$3)</f>
        <v>1.01077078424773</v>
      </c>
      <c r="J45" s="24" t="n">
        <v>14</v>
      </c>
      <c r="K45" s="43" t="n">
        <f aca="false">J45/660</f>
        <v>0.0212121212121212</v>
      </c>
      <c r="L45" s="44" t="n">
        <f aca="false">L$4*(K$3+K$4)/(K$3+K45)</f>
        <v>1.01911764705882</v>
      </c>
      <c r="M45" s="48" t="n">
        <v>2</v>
      </c>
      <c r="N45" s="45" t="n">
        <f aca="false">MIN(10,D45+F45+I45+L45+M45)</f>
        <v>6.54988843130655</v>
      </c>
      <c r="O45" s="41" t="n">
        <f aca="false">IF(C$5&lt;C45,_xlfn.DAYS(C45,C$5),0)*0.2</f>
        <v>0</v>
      </c>
      <c r="P45" s="12" t="n">
        <f aca="false">(1-O45)*N45</f>
        <v>6.54988843130655</v>
      </c>
      <c r="Q45" s="0" t="s">
        <v>166</v>
      </c>
    </row>
    <row r="46" customFormat="false" ht="12.8" hidden="false" customHeight="false" outlineLevel="0" collapsed="false">
      <c r="B46" s="0" t="n">
        <f aca="false">MC346A!A41</f>
        <v>164468</v>
      </c>
      <c r="C46" s="51" t="n">
        <v>43065.8101851852</v>
      </c>
      <c r="D46" s="24" t="n">
        <v>2</v>
      </c>
      <c r="E46" s="24" t="n">
        <v>100</v>
      </c>
      <c r="F46" s="49" t="n">
        <f aca="false">E46/F$5*2</f>
        <v>2</v>
      </c>
      <c r="G46" s="24" t="n">
        <v>1126</v>
      </c>
      <c r="H46" s="42" t="n">
        <f aca="false">G46/2/E46-1</f>
        <v>4.63</v>
      </c>
      <c r="I46" s="42" t="n">
        <f aca="false">I$4*(H$4+H$3)/(H46+H$3)</f>
        <v>2.98064516129032</v>
      </c>
      <c r="J46" s="24" t="n">
        <v>15</v>
      </c>
      <c r="K46" s="43" t="n">
        <f aca="false">J46/660</f>
        <v>0.0227272727272727</v>
      </c>
      <c r="L46" s="44" t="n">
        <f aca="false">L$4*(K$3+K$4)/(K$3+K46)</f>
        <v>0.982978723404255</v>
      </c>
      <c r="M46" s="48" t="n">
        <v>2</v>
      </c>
      <c r="N46" s="45" t="n">
        <f aca="false">MIN(10,D46+F46+I46+L46+M46)</f>
        <v>9.96362388469458</v>
      </c>
      <c r="O46" s="41" t="n">
        <f aca="false">IF(C$5&lt;C46,_xlfn.DAYS(C46,C$5),0)*0.2</f>
        <v>0</v>
      </c>
      <c r="P46" s="12" t="n">
        <f aca="false">(1-O46)*N46</f>
        <v>9.96362388469458</v>
      </c>
      <c r="Q46" s="0" t="s">
        <v>167</v>
      </c>
    </row>
    <row r="47" customFormat="false" ht="12.8" hidden="false" customHeight="false" outlineLevel="0" collapsed="false">
      <c r="B47" s="0" t="n">
        <f aca="false">MC346A!A42</f>
        <v>164700</v>
      </c>
      <c r="C47" s="24"/>
      <c r="D47" s="24"/>
      <c r="E47" s="24"/>
      <c r="F47" s="49" t="n">
        <f aca="false">E47/F$5*2</f>
        <v>0</v>
      </c>
      <c r="G47" s="24"/>
      <c r="H47" s="24"/>
      <c r="I47" s="24"/>
      <c r="J47" s="24"/>
      <c r="K47" s="24"/>
      <c r="L47" s="24"/>
      <c r="M47" s="48"/>
      <c r="N47" s="24"/>
      <c r="O47" s="24"/>
      <c r="P47" s="12"/>
    </row>
    <row r="48" customFormat="false" ht="12.8" hidden="false" customHeight="false" outlineLevel="0" collapsed="false">
      <c r="B48" s="0" t="n">
        <f aca="false">MC346A!A43</f>
        <v>166082</v>
      </c>
      <c r="C48" s="24"/>
      <c r="D48" s="24"/>
      <c r="E48" s="24"/>
      <c r="F48" s="49" t="n">
        <f aca="false">E48/F$5*2</f>
        <v>0</v>
      </c>
      <c r="G48" s="24"/>
      <c r="H48" s="24"/>
      <c r="I48" s="24"/>
      <c r="J48" s="24"/>
      <c r="K48" s="24"/>
      <c r="L48" s="24"/>
      <c r="M48" s="48"/>
      <c r="N48" s="24"/>
      <c r="O48" s="24"/>
      <c r="P48" s="12"/>
    </row>
    <row r="49" customFormat="false" ht="12.8" hidden="false" customHeight="false" outlineLevel="0" collapsed="false">
      <c r="B49" s="0" t="n">
        <f aca="false">MC346A!A44</f>
        <v>166213</v>
      </c>
      <c r="C49" s="51" t="n">
        <v>43067.9128125</v>
      </c>
      <c r="D49" s="24" t="n">
        <v>1.7</v>
      </c>
      <c r="E49" s="24" t="n">
        <v>1</v>
      </c>
      <c r="F49" s="49" t="n">
        <f aca="false">E49/F$5*2</f>
        <v>0.02</v>
      </c>
      <c r="G49" s="24" t="n">
        <v>554</v>
      </c>
      <c r="H49" s="42" t="n">
        <f aca="false">G49/2/E49-1</f>
        <v>276</v>
      </c>
      <c r="I49" s="42" t="n">
        <f aca="false">I$4*(H$4+H$3)/(H49+H$3)</f>
        <v>0.0502137526266213</v>
      </c>
      <c r="J49" s="24" t="n">
        <f aca="false">4*20+28+53</f>
        <v>161</v>
      </c>
      <c r="K49" s="43" t="n">
        <f aca="false">J49/660</f>
        <v>0.243939393939394</v>
      </c>
      <c r="L49" s="44" t="n">
        <f aca="false">L$4*(K$3+K$4)/(K$3+K49)</f>
        <v>0.159127439724455</v>
      </c>
      <c r="M49" s="48" t="n">
        <f aca="false">97*2/100</f>
        <v>1.94</v>
      </c>
      <c r="N49" s="45" t="n">
        <f aca="false">MIN(10,D49+F49+I49+L49+M49)</f>
        <v>3.86934119235108</v>
      </c>
      <c r="O49" s="41" t="n">
        <f aca="false">IF(C$5&lt;C49,_xlfn.DAYS(C49,C$5),0)*0.2</f>
        <v>0.182701388880378</v>
      </c>
      <c r="P49" s="12" t="n">
        <f aca="false">(1-O49)*N49</f>
        <v>3.16240718245648</v>
      </c>
      <c r="Q49" s="0" t="s">
        <v>168</v>
      </c>
    </row>
    <row r="50" customFormat="false" ht="12.8" hidden="false" customHeight="false" outlineLevel="0" collapsed="false">
      <c r="B50" s="0" t="n">
        <f aca="false">MC346A!A45</f>
        <v>166249</v>
      </c>
      <c r="C50" s="51" t="n">
        <v>43069.7702777778</v>
      </c>
      <c r="D50" s="24" t="n">
        <v>1.4</v>
      </c>
      <c r="E50" s="24" t="n">
        <v>5</v>
      </c>
      <c r="F50" s="49" t="n">
        <f aca="false">E50/F$5*2</f>
        <v>0.1</v>
      </c>
      <c r="G50" s="24" t="n">
        <v>76</v>
      </c>
      <c r="H50" s="42" t="n">
        <f aca="false">G50/2/E50-1</f>
        <v>6.6</v>
      </c>
      <c r="I50" s="42" t="n">
        <f aca="false">I$4*(H$4+H$3)/(H50+H$3)</f>
        <v>2.09365558912387</v>
      </c>
      <c r="J50" s="24" t="n">
        <f aca="false">6*60+40</f>
        <v>400</v>
      </c>
      <c r="K50" s="43" t="n">
        <f aca="false">J50/660</f>
        <v>0.606060606060606</v>
      </c>
      <c r="L50" s="44" t="n">
        <f aca="false">L$4*(K$3+K$4)/(K$3+K50)</f>
        <v>0.0670861568247822</v>
      </c>
      <c r="M50" s="48" t="n">
        <v>0</v>
      </c>
      <c r="N50" s="45" t="n">
        <f aca="false">MIN(10,D50+F50+I50+L50+M50)</f>
        <v>3.66074174594865</v>
      </c>
      <c r="O50" s="41" t="n">
        <f aca="false">IF(C$5&lt;C50,_xlfn.DAYS(C50,C$5),0)*0.2</f>
        <v>0.554194444441237</v>
      </c>
      <c r="P50" s="12" t="n">
        <f aca="false">(1-O50)*N50</f>
        <v>1.6319790078098</v>
      </c>
      <c r="Q50" s="0" t="s">
        <v>169</v>
      </c>
    </row>
    <row r="51" customFormat="false" ht="12.8" hidden="false" customHeight="false" outlineLevel="0" collapsed="false">
      <c r="B51" s="0" t="n">
        <f aca="false">MC346A!A46</f>
        <v>168357</v>
      </c>
      <c r="C51" s="24"/>
      <c r="D51" s="24"/>
      <c r="E51" s="24"/>
      <c r="F51" s="49" t="n">
        <f aca="false">E51/F$5*2</f>
        <v>0</v>
      </c>
      <c r="G51" s="24"/>
      <c r="H51" s="24"/>
      <c r="I51" s="24"/>
      <c r="J51" s="24"/>
      <c r="K51" s="24"/>
      <c r="L51" s="24"/>
      <c r="M51" s="48"/>
      <c r="N51" s="24"/>
      <c r="O51" s="24"/>
      <c r="P51" s="12"/>
    </row>
    <row r="52" customFormat="false" ht="12.8" hidden="false" customHeight="false" outlineLevel="0" collapsed="false">
      <c r="B52" s="0" t="n">
        <f aca="false">MC346A!A47</f>
        <v>168891</v>
      </c>
      <c r="C52" s="51" t="n">
        <v>43048.8897800926</v>
      </c>
      <c r="D52" s="24" t="n">
        <v>2</v>
      </c>
      <c r="E52" s="24" t="n">
        <v>100</v>
      </c>
      <c r="F52" s="49" t="n">
        <f aca="false">E52/F$5*2</f>
        <v>2</v>
      </c>
      <c r="G52" s="24" t="n">
        <v>1126</v>
      </c>
      <c r="H52" s="42" t="n">
        <f aca="false">G52/2/E52-1</f>
        <v>4.63</v>
      </c>
      <c r="I52" s="42" t="n">
        <f aca="false">I$4*(H$4+H$3)/(H52+H$3)</f>
        <v>2.98064516129032</v>
      </c>
      <c r="J52" s="24" t="n">
        <v>17</v>
      </c>
      <c r="K52" s="43" t="n">
        <f aca="false">J52/660</f>
        <v>0.0257575757575758</v>
      </c>
      <c r="L52" s="44" t="n">
        <f aca="false">L$4*(K$3+K$4)/(K$3+K52)</f>
        <v>0.917880794701987</v>
      </c>
      <c r="M52" s="48" t="n">
        <v>2</v>
      </c>
      <c r="N52" s="45" t="n">
        <f aca="false">MIN(10,D52+F52+I52+L52+M52)</f>
        <v>9.89852595599231</v>
      </c>
      <c r="O52" s="41" t="n">
        <f aca="false">IF(C$5&lt;C52,_xlfn.DAYS(C52,C$5),0)*0.2</f>
        <v>0</v>
      </c>
      <c r="P52" s="12" t="n">
        <f aca="false">(1-O52)*N52</f>
        <v>9.89852595599231</v>
      </c>
      <c r="Q52" s="0" t="s">
        <v>170</v>
      </c>
    </row>
    <row r="53" customFormat="false" ht="12.8" hidden="false" customHeight="false" outlineLevel="0" collapsed="false">
      <c r="B53" s="0" t="n">
        <f aca="false">MC346A!A48</f>
        <v>169621</v>
      </c>
      <c r="C53" s="34"/>
      <c r="D53" s="24"/>
      <c r="E53" s="24"/>
      <c r="F53" s="49" t="n">
        <f aca="false">E53/F$5*2</f>
        <v>0</v>
      </c>
      <c r="G53" s="24"/>
      <c r="H53" s="42"/>
      <c r="I53" s="42"/>
      <c r="J53" s="24"/>
      <c r="K53" s="43"/>
      <c r="L53" s="44"/>
      <c r="M53" s="48"/>
      <c r="N53" s="45"/>
      <c r="O53" s="41"/>
      <c r="P53" s="12"/>
    </row>
    <row r="54" customFormat="false" ht="12.8" hidden="false" customHeight="false" outlineLevel="0" collapsed="false">
      <c r="B54" s="0" t="n">
        <f aca="false">MC346A!A49</f>
        <v>169820</v>
      </c>
      <c r="C54" s="51" t="n">
        <v>43066.6593171296</v>
      </c>
      <c r="D54" s="24" t="n">
        <v>1.8</v>
      </c>
      <c r="E54" s="24" t="n">
        <v>100</v>
      </c>
      <c r="F54" s="49" t="n">
        <f aca="false">E54/F$5*2</f>
        <v>2</v>
      </c>
      <c r="G54" s="24" t="n">
        <v>1412</v>
      </c>
      <c r="H54" s="42" t="n">
        <f aca="false">G54/2/E54-1</f>
        <v>6.06</v>
      </c>
      <c r="I54" s="42" t="n">
        <f aca="false">I$4*(H$4+H$3)/(H54+H$3)</f>
        <v>2.27960526315789</v>
      </c>
      <c r="J54" s="24" t="n">
        <v>23</v>
      </c>
      <c r="K54" s="43" t="n">
        <f aca="false">J54/660</f>
        <v>0.0348484848484848</v>
      </c>
      <c r="L54" s="44" t="n">
        <f aca="false">L$4*(K$3+K$4)/(K$3+K54)</f>
        <v>0.765745856353591</v>
      </c>
      <c r="M54" s="48" t="n">
        <v>2</v>
      </c>
      <c r="N54" s="45" t="n">
        <f aca="false">MIN(10,D54+F54+I54+L54+M54)</f>
        <v>8.84535111951149</v>
      </c>
      <c r="O54" s="41" t="n">
        <f aca="false">IF(C$5&lt;C54,_xlfn.DAYS(C54,C$5),0)*0.2</f>
        <v>0</v>
      </c>
      <c r="P54" s="12" t="n">
        <f aca="false">(1-O54)*N54</f>
        <v>8.84535111951149</v>
      </c>
      <c r="Q54" s="0" t="s">
        <v>171</v>
      </c>
    </row>
    <row r="55" customFormat="false" ht="12.8" hidden="false" customHeight="false" outlineLevel="0" collapsed="false">
      <c r="B55" s="0" t="n">
        <f aca="false">MC346A!A50</f>
        <v>170207</v>
      </c>
      <c r="C55" s="51" t="n">
        <v>43067.0017592593</v>
      </c>
      <c r="D55" s="24" t="n">
        <v>1.6</v>
      </c>
      <c r="E55" s="24" t="n">
        <v>100</v>
      </c>
      <c r="F55" s="49" t="n">
        <f aca="false">E55/F$5*2</f>
        <v>2</v>
      </c>
      <c r="G55" s="24" t="n">
        <v>1412</v>
      </c>
      <c r="H55" s="42" t="n">
        <f aca="false">G55/2/E55-1</f>
        <v>6.06</v>
      </c>
      <c r="I55" s="42" t="n">
        <f aca="false">I$4*(H$4+H$3)/(H55+H$3)</f>
        <v>2.27960526315789</v>
      </c>
      <c r="J55" s="24" t="n">
        <v>17</v>
      </c>
      <c r="K55" s="43" t="n">
        <f aca="false">J55/660</f>
        <v>0.0257575757575758</v>
      </c>
      <c r="L55" s="44" t="n">
        <f aca="false">L$4*(K$3+K$4)/(K$3+K55)</f>
        <v>0.917880794701987</v>
      </c>
      <c r="M55" s="48" t="n">
        <v>2</v>
      </c>
      <c r="N55" s="45" t="n">
        <f aca="false">MIN(10,D55+F55+I55+L55+M55)</f>
        <v>8.79748605785988</v>
      </c>
      <c r="O55" s="41" t="n">
        <f aca="false">IF(C$5&lt;C55,_xlfn.DAYS(C55,C$5),0)*0.2</f>
        <v>0.000490740740497131</v>
      </c>
      <c r="P55" s="12" t="n">
        <f aca="false">(1-O55)*N55</f>
        <v>8.79316877303733</v>
      </c>
      <c r="Q55" s="0" t="s">
        <v>172</v>
      </c>
    </row>
    <row r="56" customFormat="false" ht="12.8" hidden="false" customHeight="false" outlineLevel="0" collapsed="false">
      <c r="B56" s="0" t="n">
        <f aca="false">MC346A!A51</f>
        <v>170710</v>
      </c>
      <c r="C56" s="51" t="n">
        <v>43066.9068518519</v>
      </c>
      <c r="D56" s="24" t="n">
        <v>1.8</v>
      </c>
      <c r="E56" s="24" t="n">
        <v>100</v>
      </c>
      <c r="F56" s="49" t="n">
        <f aca="false">E56/F$5*2</f>
        <v>2</v>
      </c>
      <c r="G56" s="24" t="n">
        <v>2390</v>
      </c>
      <c r="H56" s="42" t="n">
        <f aca="false">G56/2/E56-1</f>
        <v>10.95</v>
      </c>
      <c r="I56" s="42" t="n">
        <f aca="false">I$4*(H$4+H$3)/(H56+H$3)</f>
        <v>1.26344576116682</v>
      </c>
      <c r="J56" s="24" t="n">
        <v>33</v>
      </c>
      <c r="K56" s="43" t="n">
        <f aca="false">J56/660</f>
        <v>0.05</v>
      </c>
      <c r="L56" s="44" t="n">
        <f aca="false">L$4*(K$3+K$4)/(K$3+K56)</f>
        <v>0.6</v>
      </c>
      <c r="M56" s="48" t="n">
        <v>2</v>
      </c>
      <c r="N56" s="45" t="n">
        <f aca="false">MIN(10,D56+F56+I56+L56+M56)</f>
        <v>7.66344576116682</v>
      </c>
      <c r="O56" s="41" t="n">
        <f aca="false">IF(C$5&lt;C56,_xlfn.DAYS(C56,C$5),0)*0.2</f>
        <v>0</v>
      </c>
      <c r="P56" s="12" t="n">
        <f aca="false">(1-O56)*N56</f>
        <v>7.66344576116682</v>
      </c>
      <c r="Q56" s="0" t="s">
        <v>173</v>
      </c>
    </row>
    <row r="57" customFormat="false" ht="12.8" hidden="false" customHeight="false" outlineLevel="0" collapsed="false">
      <c r="B57" s="0" t="n">
        <f aca="false">MC346A!A52</f>
        <v>171866</v>
      </c>
      <c r="C57" s="51" t="n">
        <v>43053.4936111111</v>
      </c>
      <c r="D57" s="24" t="n">
        <v>2</v>
      </c>
      <c r="E57" s="24" t="n">
        <v>100</v>
      </c>
      <c r="F57" s="49" t="n">
        <f aca="false">E57/F$5*2</f>
        <v>2</v>
      </c>
      <c r="G57" s="24" t="n">
        <v>1126</v>
      </c>
      <c r="H57" s="42" t="n">
        <f aca="false">G57/2/E57-1</f>
        <v>4.63</v>
      </c>
      <c r="I57" s="42" t="n">
        <f aca="false">I$4*(H$4+H$3)/(H57+H$3)</f>
        <v>2.98064516129032</v>
      </c>
      <c r="J57" s="24" t="n">
        <v>15</v>
      </c>
      <c r="K57" s="43" t="n">
        <f aca="false">J57/660</f>
        <v>0.0227272727272727</v>
      </c>
      <c r="L57" s="44" t="n">
        <f aca="false">L$4*(K$3+K$4)/(K$3+K57)</f>
        <v>0.982978723404255</v>
      </c>
      <c r="M57" s="48" t="n">
        <v>2</v>
      </c>
      <c r="N57" s="45" t="n">
        <f aca="false">MIN(10,D57+F57+I57+L57+M57)</f>
        <v>9.96362388469458</v>
      </c>
      <c r="O57" s="41" t="n">
        <f aca="false">IF(C$5&lt;C57,_xlfn.DAYS(C57,C$5),0)*0.2</f>
        <v>0</v>
      </c>
      <c r="P57" s="12" t="n">
        <f aca="false">(1-O57)*N57</f>
        <v>9.96362388469458</v>
      </c>
      <c r="Q57" s="0" t="s">
        <v>174</v>
      </c>
    </row>
    <row r="58" customFormat="false" ht="12.8" hidden="false" customHeight="false" outlineLevel="0" collapsed="false">
      <c r="B58" s="0" t="n">
        <f aca="false">MC346A!A53</f>
        <v>172017</v>
      </c>
      <c r="C58" s="51" t="n">
        <v>43066.7945717593</v>
      </c>
      <c r="D58" s="24" t="n">
        <v>1.7</v>
      </c>
      <c r="E58" s="24" t="n">
        <v>100</v>
      </c>
      <c r="F58" s="49" t="n">
        <f aca="false">E58/F$5*2</f>
        <v>2</v>
      </c>
      <c r="G58" s="24" t="n">
        <v>3100</v>
      </c>
      <c r="H58" s="42" t="n">
        <f aca="false">G58/2/E58-1</f>
        <v>14.5</v>
      </c>
      <c r="I58" s="42" t="n">
        <f aca="false">I$4*(H$4+H$3)/(H58+H$3)</f>
        <v>0.954545454545454</v>
      </c>
      <c r="J58" s="24" t="n">
        <f aca="false">3*60+29</f>
        <v>209</v>
      </c>
      <c r="K58" s="43" t="n">
        <f aca="false">J58/660</f>
        <v>0.316666666666667</v>
      </c>
      <c r="L58" s="44" t="n">
        <f aca="false">L$4*(K$3+K$4)/(K$3+K58)</f>
        <v>0.124752475247525</v>
      </c>
      <c r="M58" s="48" t="n">
        <v>0</v>
      </c>
      <c r="N58" s="45" t="n">
        <f aca="false">MIN(10,D58+F58+I58+L58+M58)</f>
        <v>4.77929792979298</v>
      </c>
      <c r="O58" s="41" t="n">
        <f aca="false">IF(C$5&lt;C58,_xlfn.DAYS(C58,C$5),0)*0.2</f>
        <v>0</v>
      </c>
      <c r="P58" s="12" t="n">
        <f aca="false">(1-O58)*N58</f>
        <v>4.77929792979298</v>
      </c>
      <c r="Q58" s="0" t="s">
        <v>175</v>
      </c>
    </row>
    <row r="59" customFormat="false" ht="12.8" hidden="false" customHeight="false" outlineLevel="0" collapsed="false">
      <c r="B59" s="0" t="n">
        <f aca="false">MC346A!A54</f>
        <v>172519</v>
      </c>
      <c r="C59" s="51" t="n">
        <v>43067.7341435185</v>
      </c>
      <c r="D59" s="24" t="n">
        <v>1</v>
      </c>
      <c r="E59" s="24" t="n">
        <v>1</v>
      </c>
      <c r="F59" s="49" t="n">
        <f aca="false">E59/F$5*2</f>
        <v>0.02</v>
      </c>
      <c r="G59" s="24" t="n">
        <v>200</v>
      </c>
      <c r="H59" s="42" t="n">
        <f aca="false">G59/2/E59-1</f>
        <v>99</v>
      </c>
      <c r="I59" s="42" t="n">
        <f aca="false">I$4*(H$4+H$3)/(H59+H$3)</f>
        <v>0.139971722884266</v>
      </c>
      <c r="J59" s="24" t="n">
        <v>24</v>
      </c>
      <c r="K59" s="43" t="n">
        <f aca="false">J59/660</f>
        <v>0.0363636363636364</v>
      </c>
      <c r="L59" s="44" t="n">
        <f aca="false">L$4*(K$3+K$4)/(K$3+K59)</f>
        <v>0.74516129032258</v>
      </c>
      <c r="M59" s="48" t="n">
        <v>0</v>
      </c>
      <c r="N59" s="45" t="n">
        <f aca="false">MIN(10,D59+F59+I59+L59+M59)</f>
        <v>1.90513301320685</v>
      </c>
      <c r="O59" s="41" t="n">
        <f aca="false">IF(C$5&lt;C59,_xlfn.DAYS(C59,C$5),0)*0.2</f>
        <v>0.146967592580768</v>
      </c>
      <c r="P59" s="12" t="n">
        <f aca="false">(1-O59)*N59</f>
        <v>1.62514020070969</v>
      </c>
      <c r="Q59" s="0" t="s">
        <v>176</v>
      </c>
    </row>
    <row r="60" customFormat="false" ht="12.8" hidden="false" customHeight="false" outlineLevel="0" collapsed="false">
      <c r="B60" s="0" t="n">
        <f aca="false">MC346A!A55</f>
        <v>172608</v>
      </c>
      <c r="C60" s="51" t="n">
        <v>43067.993287037</v>
      </c>
      <c r="D60" s="24" t="n">
        <v>1.8</v>
      </c>
      <c r="E60" s="24" t="n">
        <v>100</v>
      </c>
      <c r="F60" s="49" t="n">
        <f aca="false">E60/F$5*2</f>
        <v>2</v>
      </c>
      <c r="G60" s="24" t="n">
        <v>1412</v>
      </c>
      <c r="H60" s="42" t="n">
        <f aca="false">G60/2/E60-1</f>
        <v>6.06</v>
      </c>
      <c r="I60" s="42" t="n">
        <f aca="false">I$4*(H$4+H$3)/(H60+H$3)</f>
        <v>2.27960526315789</v>
      </c>
      <c r="J60" s="24" t="n">
        <v>15</v>
      </c>
      <c r="K60" s="43" t="n">
        <f aca="false">J60/660</f>
        <v>0.0227272727272727</v>
      </c>
      <c r="L60" s="44" t="n">
        <f aca="false">L$4*(K$3+K$4)/(K$3+K60)</f>
        <v>0.982978723404255</v>
      </c>
      <c r="M60" s="48" t="n">
        <v>2</v>
      </c>
      <c r="N60" s="45" t="n">
        <f aca="false">MIN(10,D60+F60+I60+L60+M60)</f>
        <v>9.06258398656215</v>
      </c>
      <c r="O60" s="41" t="n">
        <f aca="false">IF(C$5&lt;C60,_xlfn.DAYS(C60,C$5),0)*0.2</f>
        <v>0.198796296281216</v>
      </c>
      <c r="P60" s="12" t="n">
        <f aca="false">(1-O60)*N60</f>
        <v>7.26097585529613</v>
      </c>
      <c r="Q60" s="0" t="s">
        <v>177</v>
      </c>
    </row>
    <row r="61" customFormat="false" ht="12.8" hidden="false" customHeight="false" outlineLevel="0" collapsed="false">
      <c r="B61" s="0" t="n">
        <f aca="false">MC346A!A56</f>
        <v>172655</v>
      </c>
      <c r="C61" s="51" t="n">
        <v>43064.5321875</v>
      </c>
      <c r="D61" s="24" t="n">
        <v>1.6</v>
      </c>
      <c r="E61" s="24" t="n">
        <v>100</v>
      </c>
      <c r="F61" s="49" t="n">
        <f aca="false">E61/F$5*2</f>
        <v>2</v>
      </c>
      <c r="G61" s="24" t="n">
        <v>1130</v>
      </c>
      <c r="H61" s="42" t="n">
        <f aca="false">G61/2/E61-1</f>
        <v>4.65</v>
      </c>
      <c r="I61" s="42" t="n">
        <f aca="false">I$4*(H$4+H$3)/(H61+H$3)</f>
        <v>2.9678800856531</v>
      </c>
      <c r="J61" s="24" t="n">
        <v>23</v>
      </c>
      <c r="K61" s="43" t="n">
        <f aca="false">J61/660</f>
        <v>0.0348484848484848</v>
      </c>
      <c r="L61" s="44" t="n">
        <f aca="false">L$4*(K$3+K$4)/(K$3+K61)</f>
        <v>0.765745856353591</v>
      </c>
      <c r="M61" s="48" t="n">
        <v>2</v>
      </c>
      <c r="N61" s="45" t="n">
        <f aca="false">MIN(10,D61+F61+I61+L61+M61)</f>
        <v>9.3336259420067</v>
      </c>
      <c r="O61" s="41" t="n">
        <f aca="false">IF(C$5&lt;C61,_xlfn.DAYS(C61,C$5),0)*0.2</f>
        <v>0</v>
      </c>
      <c r="P61" s="12" t="n">
        <f aca="false">(1-O61)*N61</f>
        <v>9.3336259420067</v>
      </c>
      <c r="Q61" s="0" t="s">
        <v>178</v>
      </c>
    </row>
    <row r="62" customFormat="false" ht="12.8" hidden="false" customHeight="false" outlineLevel="0" collapsed="false">
      <c r="B62" s="0" t="n">
        <f aca="false">MC346A!A57</f>
        <v>173728</v>
      </c>
      <c r="C62" s="24"/>
      <c r="D62" s="24"/>
      <c r="E62" s="24"/>
      <c r="F62" s="49" t="n">
        <f aca="false">E62/F$5*2</f>
        <v>0</v>
      </c>
      <c r="G62" s="24"/>
      <c r="H62" s="24"/>
      <c r="I62" s="24"/>
      <c r="J62" s="24"/>
      <c r="K62" s="24"/>
      <c r="L62" s="24"/>
      <c r="M62" s="48"/>
      <c r="N62" s="24"/>
      <c r="O62" s="24"/>
      <c r="P62" s="12"/>
    </row>
    <row r="63" customFormat="false" ht="12.8" hidden="false" customHeight="false" outlineLevel="0" collapsed="false">
      <c r="B63" s="0" t="n">
        <f aca="false">MC346A!A58</f>
        <v>174233</v>
      </c>
      <c r="C63" s="51" t="n">
        <v>43067.587662037</v>
      </c>
      <c r="D63" s="24" t="n">
        <v>1.1</v>
      </c>
      <c r="E63" s="24" t="n">
        <v>1</v>
      </c>
      <c r="F63" s="49" t="n">
        <f aca="false">E63/F$5*2</f>
        <v>0.02</v>
      </c>
      <c r="G63" s="24" t="n">
        <v>200</v>
      </c>
      <c r="H63" s="42" t="n">
        <f aca="false">G63/2/E63-1</f>
        <v>99</v>
      </c>
      <c r="I63" s="42" t="n">
        <f aca="false">I$4*(H$4+H$3)/(H63+H$3)</f>
        <v>0.139971722884266</v>
      </c>
      <c r="J63" s="24" t="n">
        <v>13</v>
      </c>
      <c r="K63" s="43" t="n">
        <f aca="false">J63/660</f>
        <v>0.0196969696969697</v>
      </c>
      <c r="L63" s="44" t="n">
        <f aca="false">L$4*(K$3+K$4)/(K$3+K63)</f>
        <v>1.05801526717557</v>
      </c>
      <c r="M63" s="48" t="n">
        <v>0</v>
      </c>
      <c r="N63" s="45" t="n">
        <f aca="false">MIN(10,D63+F63+I63+L63+M63)</f>
        <v>2.31798699005984</v>
      </c>
      <c r="O63" s="41" t="n">
        <f aca="false">IF(C$5&lt;C63,_xlfn.DAYS(C63,C$5),0)*0.2</f>
        <v>0.117671296281333</v>
      </c>
      <c r="P63" s="12" t="n">
        <f aca="false">(1-O63)*N63</f>
        <v>2.04522645617623</v>
      </c>
      <c r="Q63" s="0" t="s">
        <v>179</v>
      </c>
    </row>
    <row r="64" customFormat="false" ht="12.8" hidden="false" customHeight="false" outlineLevel="0" collapsed="false">
      <c r="B64" s="0" t="n">
        <f aca="false">MC346A!A59</f>
        <v>174847</v>
      </c>
      <c r="C64" s="24"/>
      <c r="D64" s="24"/>
      <c r="E64" s="24"/>
      <c r="F64" s="49" t="n">
        <f aca="false">E64/F$5*2</f>
        <v>0</v>
      </c>
      <c r="G64" s="24"/>
      <c r="H64" s="24"/>
      <c r="I64" s="24"/>
      <c r="J64" s="24"/>
      <c r="K64" s="24"/>
      <c r="L64" s="24"/>
      <c r="M64" s="48"/>
      <c r="N64" s="24"/>
      <c r="O64" s="24"/>
      <c r="P64" s="12"/>
    </row>
    <row r="65" customFormat="false" ht="12.8" hidden="false" customHeight="false" outlineLevel="0" collapsed="false">
      <c r="B65" s="0" t="n">
        <f aca="false">MC346A!A60</f>
        <v>175828</v>
      </c>
      <c r="C65" s="51" t="n">
        <v>43066.7056365741</v>
      </c>
      <c r="D65" s="24" t="n">
        <v>2</v>
      </c>
      <c r="E65" s="24" t="n">
        <v>100</v>
      </c>
      <c r="F65" s="49" t="n">
        <f aca="false">E65/F$5*2</f>
        <v>2</v>
      </c>
      <c r="G65" s="24" t="n">
        <v>1644</v>
      </c>
      <c r="H65" s="42" t="n">
        <f aca="false">G65/2/E65-1</f>
        <v>7.22</v>
      </c>
      <c r="I65" s="42" t="n">
        <f aca="false">I$4*(H$4+H$3)/(H65+H$3)</f>
        <v>1.91436464088398</v>
      </c>
      <c r="J65" s="24" t="n">
        <v>16</v>
      </c>
      <c r="K65" s="43" t="n">
        <f aca="false">J65/660</f>
        <v>0.0242424242424242</v>
      </c>
      <c r="L65" s="44" t="n">
        <f aca="false">L$4*(K$3+K$4)/(K$3+K65)</f>
        <v>0.949315068493151</v>
      </c>
      <c r="M65" s="48" t="n">
        <v>2</v>
      </c>
      <c r="N65" s="45" t="n">
        <f aca="false">MIN(10,D65+F65+I65+L65+M65)</f>
        <v>8.86367970937713</v>
      </c>
      <c r="O65" s="41" t="n">
        <f aca="false">IF(C$5&lt;C65,_xlfn.DAYS(C65,C$5),0)*0.2</f>
        <v>0</v>
      </c>
      <c r="P65" s="12" t="n">
        <f aca="false">(1-O65)*N65</f>
        <v>8.86367970937713</v>
      </c>
      <c r="Q65" s="0" t="s">
        <v>180</v>
      </c>
    </row>
    <row r="66" customFormat="false" ht="12.8" hidden="false" customHeight="false" outlineLevel="0" collapsed="false">
      <c r="B66" s="0" t="n">
        <f aca="false">MC346A!A61</f>
        <v>175955</v>
      </c>
      <c r="C66" s="24"/>
      <c r="D66" s="24"/>
      <c r="E66" s="24"/>
      <c r="F66" s="49" t="n">
        <f aca="false">E66/F$5*2</f>
        <v>0</v>
      </c>
      <c r="G66" s="24"/>
      <c r="H66" s="24"/>
      <c r="I66" s="24"/>
      <c r="J66" s="24"/>
      <c r="K66" s="24"/>
      <c r="L66" s="24"/>
      <c r="M66" s="48"/>
      <c r="N66" s="24"/>
      <c r="O66" s="24"/>
      <c r="P66" s="12"/>
    </row>
    <row r="67" customFormat="false" ht="12.8" hidden="false" customHeight="false" outlineLevel="0" collapsed="false">
      <c r="B67" s="0" t="n">
        <f aca="false">MC346A!A62</f>
        <v>176081</v>
      </c>
      <c r="C67" s="51" t="n">
        <v>43058.7591087963</v>
      </c>
      <c r="D67" s="24" t="n">
        <v>1.9</v>
      </c>
      <c r="E67" s="24" t="n">
        <v>100</v>
      </c>
      <c r="F67" s="49" t="n">
        <f aca="false">E67/F$5*2</f>
        <v>2</v>
      </c>
      <c r="G67" s="24" t="n">
        <v>1126</v>
      </c>
      <c r="H67" s="42" t="n">
        <f aca="false">G67/2/E67-1</f>
        <v>4.63</v>
      </c>
      <c r="I67" s="42" t="n">
        <f aca="false">I$4*(H$4+H$3)/(H67+H$3)</f>
        <v>2.98064516129032</v>
      </c>
      <c r="J67" s="24" t="n">
        <v>16</v>
      </c>
      <c r="K67" s="43" t="n">
        <f aca="false">J67/660</f>
        <v>0.0242424242424242</v>
      </c>
      <c r="L67" s="44" t="n">
        <f aca="false">L$4*(K$3+K$4)/(K$3+K67)</f>
        <v>0.949315068493151</v>
      </c>
      <c r="M67" s="48" t="n">
        <v>2</v>
      </c>
      <c r="N67" s="45" t="n">
        <f aca="false">MIN(10,D67+F67+I67+L67+M67)</f>
        <v>9.82996022978347</v>
      </c>
      <c r="O67" s="41" t="n">
        <f aca="false">IF(C$5&lt;C67,_xlfn.DAYS(C67,C$5),0)*0.2</f>
        <v>0</v>
      </c>
      <c r="P67" s="12" t="n">
        <f aca="false">(1-O67)*N67</f>
        <v>9.82996022978347</v>
      </c>
      <c r="Q67" s="0" t="s">
        <v>181</v>
      </c>
    </row>
    <row r="68" customFormat="false" ht="12.8" hidden="false" customHeight="false" outlineLevel="0" collapsed="false">
      <c r="B68" s="0" t="n">
        <f aca="false">MC346A!A63</f>
        <v>176127</v>
      </c>
      <c r="C68" s="51" t="n">
        <v>43056.5835763889</v>
      </c>
      <c r="D68" s="24" t="n">
        <v>2</v>
      </c>
      <c r="E68" s="24" t="n">
        <v>100</v>
      </c>
      <c r="F68" s="49" t="n">
        <f aca="false">E68/F$5*2</f>
        <v>2</v>
      </c>
      <c r="G68" s="24" t="n">
        <v>1126</v>
      </c>
      <c r="H68" s="42" t="n">
        <f aca="false">G68/2/E68-1</f>
        <v>4.63</v>
      </c>
      <c r="I68" s="42" t="n">
        <f aca="false">I$4*(H$4+H$3)/(H68+H$3)</f>
        <v>2.98064516129032</v>
      </c>
      <c r="J68" s="24" t="n">
        <v>16</v>
      </c>
      <c r="K68" s="43" t="n">
        <f aca="false">J68/660</f>
        <v>0.0242424242424242</v>
      </c>
      <c r="L68" s="44" t="n">
        <f aca="false">L$4*(K$3+K$4)/(K$3+K68)</f>
        <v>0.949315068493151</v>
      </c>
      <c r="M68" s="48" t="n">
        <v>2</v>
      </c>
      <c r="N68" s="45" t="n">
        <f aca="false">MIN(10,D68+F68+I68+L68+M68)</f>
        <v>9.92996022978347</v>
      </c>
      <c r="O68" s="41" t="n">
        <f aca="false">IF(C$5&lt;C68,_xlfn.DAYS(C68,C$5),0)*0.2</f>
        <v>0</v>
      </c>
      <c r="P68" s="12" t="n">
        <f aca="false">(1-O68)*N68</f>
        <v>9.92996022978347</v>
      </c>
      <c r="Q68" s="0" t="s">
        <v>182</v>
      </c>
    </row>
    <row r="69" customFormat="false" ht="12.8" hidden="false" customHeight="false" outlineLevel="0" collapsed="false">
      <c r="B69" s="0" t="n">
        <f aca="false">MC346A!A64</f>
        <v>177065</v>
      </c>
      <c r="C69" s="51" t="n">
        <v>43066.8022337963</v>
      </c>
      <c r="D69" s="24" t="n">
        <v>1.9</v>
      </c>
      <c r="E69" s="24" t="n">
        <v>100</v>
      </c>
      <c r="F69" s="49" t="n">
        <f aca="false">E69/F$5*2</f>
        <v>2</v>
      </c>
      <c r="G69" s="24" t="n">
        <v>1412</v>
      </c>
      <c r="H69" s="42" t="n">
        <f aca="false">G69/2/E69-1</f>
        <v>6.06</v>
      </c>
      <c r="I69" s="42" t="n">
        <f aca="false">I$4*(H$4+H$3)/(H69+H$3)</f>
        <v>2.27960526315789</v>
      </c>
      <c r="J69" s="24" t="n">
        <v>16</v>
      </c>
      <c r="K69" s="43" t="n">
        <f aca="false">J69/660</f>
        <v>0.0242424242424242</v>
      </c>
      <c r="L69" s="44" t="n">
        <f aca="false">L$4*(K$3+K$4)/(K$3+K69)</f>
        <v>0.949315068493151</v>
      </c>
      <c r="M69" s="48" t="n">
        <v>2</v>
      </c>
      <c r="N69" s="45" t="n">
        <f aca="false">MIN(10,D69+F69+I69+L69+M69)</f>
        <v>9.12892033165105</v>
      </c>
      <c r="O69" s="41" t="n">
        <f aca="false">IF(C$5&lt;C69,_xlfn.DAYS(C69,C$5),0)*0.2</f>
        <v>0</v>
      </c>
      <c r="P69" s="12" t="n">
        <f aca="false">(1-O69)*N69</f>
        <v>9.12892033165105</v>
      </c>
      <c r="Q69" s="0" t="s">
        <v>183</v>
      </c>
    </row>
    <row r="70" customFormat="false" ht="12.8" hidden="false" customHeight="false" outlineLevel="0" collapsed="false">
      <c r="B70" s="0" t="n">
        <f aca="false">MC346A!A65</f>
        <v>177677</v>
      </c>
      <c r="C70" s="51" t="n">
        <v>43066.9692361111</v>
      </c>
      <c r="D70" s="24" t="n">
        <v>1.6</v>
      </c>
      <c r="E70" s="24" t="n">
        <v>100</v>
      </c>
      <c r="F70" s="49" t="n">
        <f aca="false">E70/F$5*2</f>
        <v>2</v>
      </c>
      <c r="G70" s="24" t="n">
        <v>1880</v>
      </c>
      <c r="H70" s="42" t="n">
        <f aca="false">G70/2/E70-1</f>
        <v>8.4</v>
      </c>
      <c r="I70" s="42" t="n">
        <f aca="false">I$4*(H$4+H$3)/(H70+H$3)</f>
        <v>1.64608076009501</v>
      </c>
      <c r="J70" s="24" t="n">
        <v>17</v>
      </c>
      <c r="K70" s="43" t="n">
        <f aca="false">J70/660</f>
        <v>0.0257575757575758</v>
      </c>
      <c r="L70" s="44" t="n">
        <f aca="false">L$4*(K$3+K$4)/(K$3+K70)</f>
        <v>0.917880794701987</v>
      </c>
      <c r="M70" s="48" t="n">
        <v>2</v>
      </c>
      <c r="N70" s="45" t="n">
        <f aca="false">MIN(10,D70+F70+I70+L70+M70)</f>
        <v>8.163961554797</v>
      </c>
      <c r="O70" s="41" t="n">
        <f aca="false">IF(C$5&lt;C70,_xlfn.DAYS(C70,C$5),0)*0.2</f>
        <v>0</v>
      </c>
      <c r="P70" s="12" t="n">
        <f aca="false">(1-O70)*N70</f>
        <v>8.163961554797</v>
      </c>
      <c r="Q70" s="0" t="s">
        <v>184</v>
      </c>
    </row>
    <row r="71" customFormat="false" ht="12.8" hidden="false" customHeight="false" outlineLevel="0" collapsed="false">
      <c r="B71" s="0" t="n">
        <f aca="false">MC346A!A66</f>
        <v>178018</v>
      </c>
      <c r="C71" s="51" t="n">
        <v>43066.8890046296</v>
      </c>
      <c r="D71" s="24" t="n">
        <v>1.6</v>
      </c>
      <c r="E71" s="24" t="n">
        <v>100</v>
      </c>
      <c r="F71" s="49" t="n">
        <f aca="false">E71/F$5*2</f>
        <v>2</v>
      </c>
      <c r="G71" s="24" t="n">
        <v>1130</v>
      </c>
      <c r="H71" s="42" t="n">
        <f aca="false">G71/2/E71-1</f>
        <v>4.65</v>
      </c>
      <c r="I71" s="42" t="n">
        <f aca="false">I$4*(H$4+H$3)/(H71+H$3)</f>
        <v>2.9678800856531</v>
      </c>
      <c r="J71" s="24" t="n">
        <v>24</v>
      </c>
      <c r="K71" s="43" t="n">
        <f aca="false">J71/660</f>
        <v>0.0363636363636364</v>
      </c>
      <c r="L71" s="44" t="n">
        <f aca="false">L$4*(K$3+K$4)/(K$3+K71)</f>
        <v>0.74516129032258</v>
      </c>
      <c r="M71" s="48" t="n">
        <v>2</v>
      </c>
      <c r="N71" s="45" t="n">
        <f aca="false">MIN(10,D71+F71+I71+L71+M71)</f>
        <v>9.31304137597569</v>
      </c>
      <c r="O71" s="41" t="n">
        <f aca="false">IF(C$5&lt;C71,_xlfn.DAYS(C71,C$5),0)*0.2</f>
        <v>0</v>
      </c>
      <c r="P71" s="12" t="n">
        <f aca="false">(1-O71)*N71</f>
        <v>9.31304137597569</v>
      </c>
      <c r="Q71" s="0" t="s">
        <v>185</v>
      </c>
    </row>
    <row r="72" customFormat="false" ht="12.8" hidden="false" customHeight="false" outlineLevel="0" collapsed="false">
      <c r="B72" s="0" t="n">
        <f aca="false">MC346A!A67</f>
        <v>178183</v>
      </c>
      <c r="C72" s="51" t="n">
        <v>43066.9747222222</v>
      </c>
      <c r="D72" s="24" t="n">
        <v>1.6</v>
      </c>
      <c r="E72" s="24" t="n">
        <v>100</v>
      </c>
      <c r="F72" s="49" t="n">
        <f aca="false">E72/F$5*2</f>
        <v>2</v>
      </c>
      <c r="G72" s="24" t="n">
        <v>1126</v>
      </c>
      <c r="H72" s="42" t="n">
        <f aca="false">G72/2/E72-1</f>
        <v>4.63</v>
      </c>
      <c r="I72" s="42" t="n">
        <f aca="false">I$4*(H$4+H$3)/(H72+H$3)</f>
        <v>2.98064516129032</v>
      </c>
      <c r="J72" s="24" t="n">
        <v>16</v>
      </c>
      <c r="K72" s="43" t="n">
        <f aca="false">J72/660</f>
        <v>0.0242424242424242</v>
      </c>
      <c r="L72" s="44" t="n">
        <f aca="false">L$4*(K$3+K$4)/(K$3+K72)</f>
        <v>0.949315068493151</v>
      </c>
      <c r="M72" s="48" t="n">
        <v>2</v>
      </c>
      <c r="N72" s="45" t="n">
        <f aca="false">MIN(10,D72+F72+I72+L72+M72)</f>
        <v>9.52996022978347</v>
      </c>
      <c r="O72" s="41" t="n">
        <f aca="false">IF(C$5&lt;C72,_xlfn.DAYS(C72,C$5),0)*0.2</f>
        <v>0</v>
      </c>
      <c r="P72" s="12" t="n">
        <f aca="false">(1-O72)*N72</f>
        <v>9.52996022978347</v>
      </c>
      <c r="Q72" s="0" t="s">
        <v>186</v>
      </c>
    </row>
    <row r="73" customFormat="false" ht="12.8" hidden="false" customHeight="false" outlineLevel="0" collapsed="false">
      <c r="B73" s="0" t="n">
        <f aca="false">MC346A!A68</f>
        <v>951431</v>
      </c>
      <c r="C73" s="24"/>
      <c r="D73" s="24"/>
      <c r="E73" s="24"/>
      <c r="F73" s="49" t="n">
        <f aca="false">E73/F$5*2</f>
        <v>0</v>
      </c>
      <c r="G73" s="24"/>
      <c r="H73" s="24"/>
      <c r="I73" s="24"/>
      <c r="J73" s="24"/>
      <c r="K73" s="24"/>
      <c r="L73" s="24"/>
      <c r="M73" s="48"/>
      <c r="N73" s="24"/>
      <c r="O73" s="24"/>
      <c r="P73" s="12"/>
    </row>
  </sheetData>
  <conditionalFormatting sqref="P7">
    <cfRule type="colorScale" priority="2">
      <colorScale>
        <cfvo type="formula" val="&lt;5"/>
        <cfvo type="formula" val="&gt;5"/>
        <color rgb="FFFF0000"/>
        <color rgb="FF0000FF"/>
      </colorScale>
    </cfRule>
  </conditionalFormatting>
  <conditionalFormatting sqref="P7">
    <cfRule type="cellIs" priority="3" operator="lessThan" aboveAverage="0" equalAverage="0" bottom="0" percent="0" rank="0" text="" dxfId="0">
      <formula>5</formula>
    </cfRule>
    <cfRule type="cellIs" priority="4" operator="greaterThanOrEqual" aboveAverage="0" equalAverage="0" bottom="0" percent="0" rank="0" text="" dxfId="1">
      <formula>5</formula>
    </cfRule>
  </conditionalFormatting>
  <conditionalFormatting sqref="P8">
    <cfRule type="colorScale" priority="5">
      <colorScale>
        <cfvo type="formula" val="&lt;5"/>
        <cfvo type="formula" val="&gt;5"/>
        <color rgb="FFFF0000"/>
        <color rgb="FF0000FF"/>
      </colorScale>
    </cfRule>
  </conditionalFormatting>
  <conditionalFormatting sqref="P8">
    <cfRule type="cellIs" priority="6" operator="lessThan" aboveAverage="0" equalAverage="0" bottom="0" percent="0" rank="0" text="" dxfId="0">
      <formula>5</formula>
    </cfRule>
    <cfRule type="cellIs" priority="7" operator="greaterThanOrEqual" aboveAverage="0" equalAverage="0" bottom="0" percent="0" rank="0" text="" dxfId="1">
      <formula>5</formula>
    </cfRule>
  </conditionalFormatting>
  <conditionalFormatting sqref="P17">
    <cfRule type="colorScale" priority="8">
      <colorScale>
        <cfvo type="formula" val="&lt;5"/>
        <cfvo type="formula" val="&gt;5"/>
        <color rgb="FFFF0000"/>
        <color rgb="FF0000FF"/>
      </colorScale>
    </cfRule>
  </conditionalFormatting>
  <conditionalFormatting sqref="P17">
    <cfRule type="cellIs" priority="9" operator="lessThan" aboveAverage="0" equalAverage="0" bottom="0" percent="0" rank="0" text="" dxfId="0">
      <formula>5</formula>
    </cfRule>
    <cfRule type="cellIs" priority="10" operator="greaterThanOrEqual" aboveAverage="0" equalAverage="0" bottom="0" percent="0" rank="0" text="" dxfId="1">
      <formula>5</formula>
    </cfRule>
  </conditionalFormatting>
  <conditionalFormatting sqref="P21">
    <cfRule type="colorScale" priority="11">
      <colorScale>
        <cfvo type="formula" val="&lt;5"/>
        <cfvo type="formula" val="&gt;5"/>
        <color rgb="FFFF0000"/>
        <color rgb="FF0000FF"/>
      </colorScale>
    </cfRule>
  </conditionalFormatting>
  <conditionalFormatting sqref="P21">
    <cfRule type="cellIs" priority="12" operator="lessThan" aboveAverage="0" equalAverage="0" bottom="0" percent="0" rank="0" text="" dxfId="0">
      <formula>5</formula>
    </cfRule>
    <cfRule type="cellIs" priority="13" operator="greaterThanOrEqual" aboveAverage="0" equalAverage="0" bottom="0" percent="0" rank="0" text="" dxfId="1">
      <formula>5</formula>
    </cfRule>
  </conditionalFormatting>
  <conditionalFormatting sqref="P23">
    <cfRule type="colorScale" priority="14">
      <colorScale>
        <cfvo type="formula" val="&lt;5"/>
        <cfvo type="formula" val="&gt;5"/>
        <color rgb="FFFF0000"/>
        <color rgb="FF0000FF"/>
      </colorScale>
    </cfRule>
  </conditionalFormatting>
  <conditionalFormatting sqref="P23">
    <cfRule type="cellIs" priority="15" operator="lessThan" aboveAverage="0" equalAverage="0" bottom="0" percent="0" rank="0" text="" dxfId="0">
      <formula>5</formula>
    </cfRule>
    <cfRule type="cellIs" priority="16" operator="greaterThanOrEqual" aboveAverage="0" equalAverage="0" bottom="0" percent="0" rank="0" text="" dxfId="1">
      <formula>5</formula>
    </cfRule>
  </conditionalFormatting>
  <conditionalFormatting sqref="P28">
    <cfRule type="colorScale" priority="17">
      <colorScale>
        <cfvo type="formula" val="&lt;5"/>
        <cfvo type="formula" val="&gt;5"/>
        <color rgb="FFFF0000"/>
        <color rgb="FF0000FF"/>
      </colorScale>
    </cfRule>
  </conditionalFormatting>
  <conditionalFormatting sqref="P28">
    <cfRule type="cellIs" priority="18" operator="lessThan" aboveAverage="0" equalAverage="0" bottom="0" percent="0" rank="0" text="" dxfId="0">
      <formula>5</formula>
    </cfRule>
    <cfRule type="cellIs" priority="19" operator="greaterThanOrEqual" aboveAverage="0" equalAverage="0" bottom="0" percent="0" rank="0" text="" dxfId="1">
      <formula>5</formula>
    </cfRule>
  </conditionalFormatting>
  <conditionalFormatting sqref="P32">
    <cfRule type="colorScale" priority="20">
      <colorScale>
        <cfvo type="formula" val="&lt;5"/>
        <cfvo type="formula" val="&gt;5"/>
        <color rgb="FFFF0000"/>
        <color rgb="FF0000FF"/>
      </colorScale>
    </cfRule>
  </conditionalFormatting>
  <conditionalFormatting sqref="P32">
    <cfRule type="cellIs" priority="21" operator="lessThan" aboveAverage="0" equalAverage="0" bottom="0" percent="0" rank="0" text="" dxfId="0">
      <formula>5</formula>
    </cfRule>
    <cfRule type="cellIs" priority="22" operator="greaterThanOrEqual" aboveAverage="0" equalAverage="0" bottom="0" percent="0" rank="0" text="" dxfId="1">
      <formula>5</formula>
    </cfRule>
  </conditionalFormatting>
  <conditionalFormatting sqref="P33">
    <cfRule type="colorScale" priority="23">
      <colorScale>
        <cfvo type="formula" val="&lt;5"/>
        <cfvo type="formula" val="&gt;5"/>
        <color rgb="FFFF0000"/>
        <color rgb="FF0000FF"/>
      </colorScale>
    </cfRule>
  </conditionalFormatting>
  <conditionalFormatting sqref="P33">
    <cfRule type="cellIs" priority="24" operator="lessThan" aboveAverage="0" equalAverage="0" bottom="0" percent="0" rank="0" text="" dxfId="0">
      <formula>5</formula>
    </cfRule>
    <cfRule type="cellIs" priority="25" operator="greaterThanOrEqual" aboveAverage="0" equalAverage="0" bottom="0" percent="0" rank="0" text="" dxfId="1">
      <formula>5</formula>
    </cfRule>
  </conditionalFormatting>
  <conditionalFormatting sqref="P40">
    <cfRule type="colorScale" priority="26">
      <colorScale>
        <cfvo type="formula" val="&lt;5"/>
        <cfvo type="formula" val="&gt;5"/>
        <color rgb="FFFF0000"/>
        <color rgb="FF0000FF"/>
      </colorScale>
    </cfRule>
  </conditionalFormatting>
  <conditionalFormatting sqref="P40">
    <cfRule type="cellIs" priority="27" operator="lessThan" aboveAverage="0" equalAverage="0" bottom="0" percent="0" rank="0" text="" dxfId="0">
      <formula>5</formula>
    </cfRule>
    <cfRule type="cellIs" priority="28" operator="greaterThanOrEqual" aboveAverage="0" equalAverage="0" bottom="0" percent="0" rank="0" text="" dxfId="1">
      <formula>5</formula>
    </cfRule>
  </conditionalFormatting>
  <conditionalFormatting sqref="P41">
    <cfRule type="colorScale" priority="29">
      <colorScale>
        <cfvo type="formula" val="&lt;5"/>
        <cfvo type="formula" val="&gt;5"/>
        <color rgb="FFFF0000"/>
        <color rgb="FF0000FF"/>
      </colorScale>
    </cfRule>
  </conditionalFormatting>
  <conditionalFormatting sqref="P41">
    <cfRule type="cellIs" priority="30" operator="lessThan" aboveAverage="0" equalAverage="0" bottom="0" percent="0" rank="0" text="" dxfId="0">
      <formula>5</formula>
    </cfRule>
    <cfRule type="cellIs" priority="31" operator="greaterThanOrEqual" aboveAverage="0" equalAverage="0" bottom="0" percent="0" rank="0" text="" dxfId="1">
      <formula>5</formula>
    </cfRule>
  </conditionalFormatting>
  <conditionalFormatting sqref="P42">
    <cfRule type="colorScale" priority="32">
      <colorScale>
        <cfvo type="formula" val="&lt;5"/>
        <cfvo type="formula" val="&gt;5"/>
        <color rgb="FFFF0000"/>
        <color rgb="FF0000FF"/>
      </colorScale>
    </cfRule>
  </conditionalFormatting>
  <conditionalFormatting sqref="P42">
    <cfRule type="cellIs" priority="33" operator="lessThan" aboveAverage="0" equalAverage="0" bottom="0" percent="0" rank="0" text="" dxfId="0">
      <formula>5</formula>
    </cfRule>
    <cfRule type="cellIs" priority="34" operator="greaterThanOrEqual" aboveAverage="0" equalAverage="0" bottom="0" percent="0" rank="0" text="" dxfId="1">
      <formula>5</formula>
    </cfRule>
  </conditionalFormatting>
  <conditionalFormatting sqref="P43">
    <cfRule type="colorScale" priority="35">
      <colorScale>
        <cfvo type="formula" val="&lt;5"/>
        <cfvo type="formula" val="&gt;5"/>
        <color rgb="FFFF0000"/>
        <color rgb="FF0000FF"/>
      </colorScale>
    </cfRule>
  </conditionalFormatting>
  <conditionalFormatting sqref="P43">
    <cfRule type="cellIs" priority="36" operator="lessThan" aboveAverage="0" equalAverage="0" bottom="0" percent="0" rank="0" text="" dxfId="0">
      <formula>5</formula>
    </cfRule>
    <cfRule type="cellIs" priority="37" operator="greaterThanOrEqual" aboveAverage="0" equalAverage="0" bottom="0" percent="0" rank="0" text="" dxfId="1">
      <formula>5</formula>
    </cfRule>
  </conditionalFormatting>
  <conditionalFormatting sqref="P44">
    <cfRule type="colorScale" priority="38">
      <colorScale>
        <cfvo type="formula" val="&lt;5"/>
        <cfvo type="formula" val="&gt;5"/>
        <color rgb="FFFF0000"/>
        <color rgb="FF0000FF"/>
      </colorScale>
    </cfRule>
  </conditionalFormatting>
  <conditionalFormatting sqref="P44">
    <cfRule type="cellIs" priority="39" operator="lessThan" aboveAverage="0" equalAverage="0" bottom="0" percent="0" rank="0" text="" dxfId="0">
      <formula>5</formula>
    </cfRule>
    <cfRule type="cellIs" priority="40" operator="greaterThanOrEqual" aboveAverage="0" equalAverage="0" bottom="0" percent="0" rank="0" text="" dxfId="1">
      <formula>5</formula>
    </cfRule>
  </conditionalFormatting>
  <conditionalFormatting sqref="P47">
    <cfRule type="colorScale" priority="41">
      <colorScale>
        <cfvo type="formula" val="&lt;5"/>
        <cfvo type="formula" val="&gt;5"/>
        <color rgb="FFFF0000"/>
        <color rgb="FF0000FF"/>
      </colorScale>
    </cfRule>
  </conditionalFormatting>
  <conditionalFormatting sqref="P47">
    <cfRule type="cellIs" priority="42" operator="lessThan" aboveAverage="0" equalAverage="0" bottom="0" percent="0" rank="0" text="" dxfId="0">
      <formula>5</formula>
    </cfRule>
    <cfRule type="cellIs" priority="43" operator="greaterThanOrEqual" aboveAverage="0" equalAverage="0" bottom="0" percent="0" rank="0" text="" dxfId="1">
      <formula>5</formula>
    </cfRule>
  </conditionalFormatting>
  <conditionalFormatting sqref="P48">
    <cfRule type="colorScale" priority="44">
      <colorScale>
        <cfvo type="formula" val="&lt;5"/>
        <cfvo type="formula" val="&gt;5"/>
        <color rgb="FFFF0000"/>
        <color rgb="FF0000FF"/>
      </colorScale>
    </cfRule>
  </conditionalFormatting>
  <conditionalFormatting sqref="P48">
    <cfRule type="cellIs" priority="45" operator="lessThan" aboveAverage="0" equalAverage="0" bottom="0" percent="0" rank="0" text="" dxfId="0">
      <formula>5</formula>
    </cfRule>
    <cfRule type="cellIs" priority="46" operator="greaterThanOrEqual" aboveAverage="0" equalAverage="0" bottom="0" percent="0" rank="0" text="" dxfId="1">
      <formula>5</formula>
    </cfRule>
  </conditionalFormatting>
  <conditionalFormatting sqref="P51">
    <cfRule type="colorScale" priority="47">
      <colorScale>
        <cfvo type="formula" val="&lt;5"/>
        <cfvo type="formula" val="&gt;5"/>
        <color rgb="FFFF0000"/>
        <color rgb="FF0000FF"/>
      </colorScale>
    </cfRule>
  </conditionalFormatting>
  <conditionalFormatting sqref="P51">
    <cfRule type="cellIs" priority="48" operator="lessThan" aboveAverage="0" equalAverage="0" bottom="0" percent="0" rank="0" text="" dxfId="0">
      <formula>5</formula>
    </cfRule>
    <cfRule type="cellIs" priority="49" operator="greaterThanOrEqual" aboveAverage="0" equalAverage="0" bottom="0" percent="0" rank="0" text="" dxfId="1">
      <formula>5</formula>
    </cfRule>
  </conditionalFormatting>
  <conditionalFormatting sqref="P62">
    <cfRule type="colorScale" priority="50">
      <colorScale>
        <cfvo type="formula" val="&lt;5"/>
        <cfvo type="formula" val="&gt;5"/>
        <color rgb="FFFF0000"/>
        <color rgb="FF0000FF"/>
      </colorScale>
    </cfRule>
  </conditionalFormatting>
  <conditionalFormatting sqref="P62">
    <cfRule type="cellIs" priority="51" operator="lessThan" aboveAverage="0" equalAverage="0" bottom="0" percent="0" rank="0" text="" dxfId="0">
      <formula>5</formula>
    </cfRule>
    <cfRule type="cellIs" priority="52" operator="greaterThanOrEqual" aboveAverage="0" equalAverage="0" bottom="0" percent="0" rank="0" text="" dxfId="1">
      <formula>5</formula>
    </cfRule>
  </conditionalFormatting>
  <conditionalFormatting sqref="P64">
    <cfRule type="colorScale" priority="53">
      <colorScale>
        <cfvo type="formula" val="&lt;5"/>
        <cfvo type="formula" val="&gt;5"/>
        <color rgb="FFFF0000"/>
        <color rgb="FF0000FF"/>
      </colorScale>
    </cfRule>
  </conditionalFormatting>
  <conditionalFormatting sqref="P64">
    <cfRule type="cellIs" priority="54" operator="lessThan" aboveAverage="0" equalAverage="0" bottom="0" percent="0" rank="0" text="" dxfId="0">
      <formula>5</formula>
    </cfRule>
    <cfRule type="cellIs" priority="55" operator="greaterThanOrEqual" aboveAverage="0" equalAverage="0" bottom="0" percent="0" rank="0" text="" dxfId="1">
      <formula>5</formula>
    </cfRule>
  </conditionalFormatting>
  <conditionalFormatting sqref="P66">
    <cfRule type="colorScale" priority="56">
      <colorScale>
        <cfvo type="formula" val="&lt;5"/>
        <cfvo type="formula" val="&gt;5"/>
        <color rgb="FFFF0000"/>
        <color rgb="FF0000FF"/>
      </colorScale>
    </cfRule>
  </conditionalFormatting>
  <conditionalFormatting sqref="P66">
    <cfRule type="cellIs" priority="57" operator="lessThan" aboveAverage="0" equalAverage="0" bottom="0" percent="0" rank="0" text="" dxfId="0">
      <formula>5</formula>
    </cfRule>
    <cfRule type="cellIs" priority="58" operator="greaterThanOrEqual" aboveAverage="0" equalAverage="0" bottom="0" percent="0" rank="0" text="" dxfId="1">
      <formula>5</formula>
    </cfRule>
  </conditionalFormatting>
  <conditionalFormatting sqref="P73">
    <cfRule type="colorScale" priority="59">
      <colorScale>
        <cfvo type="formula" val="&lt;5"/>
        <cfvo type="formula" val="&gt;5"/>
        <color rgb="FFFF0000"/>
        <color rgb="FF0000FF"/>
      </colorScale>
    </cfRule>
  </conditionalFormatting>
  <conditionalFormatting sqref="P73">
    <cfRule type="cellIs" priority="60" operator="lessThan" aboveAverage="0" equalAverage="0" bottom="0" percent="0" rank="0" text="" dxfId="0">
      <formula>5</formula>
    </cfRule>
    <cfRule type="cellIs" priority="61" operator="greaterThanOrEqual" aboveAverage="0" equalAverage="0" bottom="0" percent="0" rank="0" text="" dxfId="1">
      <formula>5</formula>
    </cfRule>
  </conditionalFormatting>
  <conditionalFormatting sqref="P9">
    <cfRule type="colorScale" priority="62">
      <colorScale>
        <cfvo type="formula" val="&lt;5"/>
        <cfvo type="formula" val="&gt;5"/>
        <color rgb="FFFF0000"/>
        <color rgb="FF0000FF"/>
      </colorScale>
    </cfRule>
  </conditionalFormatting>
  <conditionalFormatting sqref="P9">
    <cfRule type="cellIs" priority="63" operator="lessThan" aboveAverage="0" equalAverage="0" bottom="0" percent="0" rank="0" text="" dxfId="0">
      <formula>5</formula>
    </cfRule>
    <cfRule type="cellIs" priority="64" operator="greaterThanOrEqual" aboveAverage="0" equalAverage="0" bottom="0" percent="0" rank="0" text="" dxfId="1">
      <formula>5</formula>
    </cfRule>
  </conditionalFormatting>
  <conditionalFormatting sqref="P13">
    <cfRule type="colorScale" priority="65">
      <colorScale>
        <cfvo type="formula" val="&lt;5"/>
        <cfvo type="formula" val="&gt;5"/>
        <color rgb="FFFF0000"/>
        <color rgb="FF0000FF"/>
      </colorScale>
    </cfRule>
  </conditionalFormatting>
  <conditionalFormatting sqref="P13">
    <cfRule type="cellIs" priority="66" operator="lessThan" aboveAverage="0" equalAverage="0" bottom="0" percent="0" rank="0" text="" dxfId="0">
      <formula>5</formula>
    </cfRule>
    <cfRule type="cellIs" priority="67" operator="greaterThanOrEqual" aboveAverage="0" equalAverage="0" bottom="0" percent="0" rank="0" text="" dxfId="1">
      <formula>5</formula>
    </cfRule>
  </conditionalFormatting>
  <conditionalFormatting sqref="P14">
    <cfRule type="colorScale" priority="68">
      <colorScale>
        <cfvo type="formula" val="&lt;5"/>
        <cfvo type="formula" val="&gt;5"/>
        <color rgb="FFFF0000"/>
        <color rgb="FF0000FF"/>
      </colorScale>
    </cfRule>
  </conditionalFormatting>
  <conditionalFormatting sqref="P14">
    <cfRule type="cellIs" priority="69" operator="lessThan" aboveAverage="0" equalAverage="0" bottom="0" percent="0" rank="0" text="" dxfId="0">
      <formula>5</formula>
    </cfRule>
    <cfRule type="cellIs" priority="70" operator="greaterThanOrEqual" aboveAverage="0" equalAverage="0" bottom="0" percent="0" rank="0" text="" dxfId="1">
      <formula>5</formula>
    </cfRule>
  </conditionalFormatting>
  <conditionalFormatting sqref="P16">
    <cfRule type="colorScale" priority="71">
      <colorScale>
        <cfvo type="formula" val="&lt;5"/>
        <cfvo type="formula" val="&gt;5"/>
        <color rgb="FFFF0000"/>
        <color rgb="FF0000FF"/>
      </colorScale>
    </cfRule>
  </conditionalFormatting>
  <conditionalFormatting sqref="P16">
    <cfRule type="cellIs" priority="72" operator="lessThan" aboveAverage="0" equalAverage="0" bottom="0" percent="0" rank="0" text="" dxfId="0">
      <formula>5</formula>
    </cfRule>
    <cfRule type="cellIs" priority="73" operator="greaterThanOrEqual" aboveAverage="0" equalAverage="0" bottom="0" percent="0" rank="0" text="" dxfId="1">
      <formula>5</formula>
    </cfRule>
  </conditionalFormatting>
  <conditionalFormatting sqref="P27">
    <cfRule type="colorScale" priority="74">
      <colorScale>
        <cfvo type="formula" val="&lt;5"/>
        <cfvo type="formula" val="&gt;5"/>
        <color rgb="FFFF0000"/>
        <color rgb="FF0000FF"/>
      </colorScale>
    </cfRule>
  </conditionalFormatting>
  <conditionalFormatting sqref="P27">
    <cfRule type="cellIs" priority="75" operator="lessThan" aboveAverage="0" equalAverage="0" bottom="0" percent="0" rank="0" text="" dxfId="0">
      <formula>5</formula>
    </cfRule>
    <cfRule type="cellIs" priority="76" operator="greaterThanOrEqual" aboveAverage="0" equalAverage="0" bottom="0" percent="0" rank="0" text="" dxfId="1">
      <formula>5</formula>
    </cfRule>
  </conditionalFormatting>
  <conditionalFormatting sqref="P29">
    <cfRule type="colorScale" priority="77">
      <colorScale>
        <cfvo type="formula" val="&lt;5"/>
        <cfvo type="formula" val="&gt;5"/>
        <color rgb="FFFF0000"/>
        <color rgb="FF0000FF"/>
      </colorScale>
    </cfRule>
  </conditionalFormatting>
  <conditionalFormatting sqref="P29">
    <cfRule type="cellIs" priority="78" operator="lessThan" aboveAverage="0" equalAverage="0" bottom="0" percent="0" rank="0" text="" dxfId="0">
      <formula>5</formula>
    </cfRule>
    <cfRule type="cellIs" priority="79" operator="greaterThanOrEqual" aboveAverage="0" equalAverage="0" bottom="0" percent="0" rank="0" text="" dxfId="1">
      <formula>5</formula>
    </cfRule>
  </conditionalFormatting>
  <conditionalFormatting sqref="P30">
    <cfRule type="colorScale" priority="80">
      <colorScale>
        <cfvo type="formula" val="&lt;5"/>
        <cfvo type="formula" val="&gt;5"/>
        <color rgb="FFFF0000"/>
        <color rgb="FF0000FF"/>
      </colorScale>
    </cfRule>
  </conditionalFormatting>
  <conditionalFormatting sqref="P30">
    <cfRule type="cellIs" priority="81" operator="lessThan" aboveAverage="0" equalAverage="0" bottom="0" percent="0" rank="0" text="" dxfId="0">
      <formula>5</formula>
    </cfRule>
    <cfRule type="cellIs" priority="82" operator="greaterThanOrEqual" aboveAverage="0" equalAverage="0" bottom="0" percent="0" rank="0" text="" dxfId="1">
      <formula>5</formula>
    </cfRule>
  </conditionalFormatting>
  <conditionalFormatting sqref="P10">
    <cfRule type="colorScale" priority="83">
      <colorScale>
        <cfvo type="formula" val="&lt;5"/>
        <cfvo type="formula" val="&gt;5"/>
        <color rgb="FFFF0000"/>
        <color rgb="FF0000FF"/>
      </colorScale>
    </cfRule>
  </conditionalFormatting>
  <conditionalFormatting sqref="P10">
    <cfRule type="cellIs" priority="84" operator="lessThan" aboveAverage="0" equalAverage="0" bottom="0" percent="0" rank="0" text="" dxfId="0">
      <formula>5</formula>
    </cfRule>
    <cfRule type="cellIs" priority="85" operator="greaterThanOrEqual" aboveAverage="0" equalAverage="0" bottom="0" percent="0" rank="0" text="" dxfId="1">
      <formula>5</formula>
    </cfRule>
  </conditionalFormatting>
  <conditionalFormatting sqref="P11">
    <cfRule type="colorScale" priority="86">
      <colorScale>
        <cfvo type="formula" val="&lt;5"/>
        <cfvo type="formula" val="&gt;5"/>
        <color rgb="FFFF0000"/>
        <color rgb="FF0000FF"/>
      </colorScale>
    </cfRule>
  </conditionalFormatting>
  <conditionalFormatting sqref="P11">
    <cfRule type="cellIs" priority="87" operator="lessThan" aboveAverage="0" equalAverage="0" bottom="0" percent="0" rank="0" text="" dxfId="0">
      <formula>5</formula>
    </cfRule>
    <cfRule type="cellIs" priority="88" operator="greaterThanOrEqual" aboveAverage="0" equalAverage="0" bottom="0" percent="0" rank="0" text="" dxfId="1">
      <formula>5</formula>
    </cfRule>
  </conditionalFormatting>
  <conditionalFormatting sqref="P12">
    <cfRule type="colorScale" priority="89">
      <colorScale>
        <cfvo type="formula" val="&lt;5"/>
        <cfvo type="formula" val="&gt;5"/>
        <color rgb="FFFF0000"/>
        <color rgb="FF0000FF"/>
      </colorScale>
    </cfRule>
  </conditionalFormatting>
  <conditionalFormatting sqref="P12">
    <cfRule type="cellIs" priority="90" operator="lessThan" aboveAverage="0" equalAverage="0" bottom="0" percent="0" rank="0" text="" dxfId="0">
      <formula>5</formula>
    </cfRule>
    <cfRule type="cellIs" priority="91" operator="greaterThanOrEqual" aboveAverage="0" equalAverage="0" bottom="0" percent="0" rank="0" text="" dxfId="1">
      <formula>5</formula>
    </cfRule>
  </conditionalFormatting>
  <conditionalFormatting sqref="P15">
    <cfRule type="colorScale" priority="92">
      <colorScale>
        <cfvo type="formula" val="&lt;5"/>
        <cfvo type="formula" val="&gt;5"/>
        <color rgb="FFFF0000"/>
        <color rgb="FF0000FF"/>
      </colorScale>
    </cfRule>
  </conditionalFormatting>
  <conditionalFormatting sqref="P15">
    <cfRule type="cellIs" priority="93" operator="lessThan" aboveAverage="0" equalAverage="0" bottom="0" percent="0" rank="0" text="" dxfId="0">
      <formula>5</formula>
    </cfRule>
    <cfRule type="cellIs" priority="94" operator="greaterThanOrEqual" aboveAverage="0" equalAverage="0" bottom="0" percent="0" rank="0" text="" dxfId="1">
      <formula>5</formula>
    </cfRule>
  </conditionalFormatting>
  <conditionalFormatting sqref="P18">
    <cfRule type="colorScale" priority="95">
      <colorScale>
        <cfvo type="formula" val="&lt;5"/>
        <cfvo type="formula" val="&gt;5"/>
        <color rgb="FFFF0000"/>
        <color rgb="FF0000FF"/>
      </colorScale>
    </cfRule>
  </conditionalFormatting>
  <conditionalFormatting sqref="P18">
    <cfRule type="cellIs" priority="96" operator="lessThan" aboveAverage="0" equalAverage="0" bottom="0" percent="0" rank="0" text="" dxfId="0">
      <formula>5</formula>
    </cfRule>
    <cfRule type="cellIs" priority="97" operator="greaterThanOrEqual" aboveAverage="0" equalAverage="0" bottom="0" percent="0" rank="0" text="" dxfId="1">
      <formula>5</formula>
    </cfRule>
  </conditionalFormatting>
  <conditionalFormatting sqref="P20">
    <cfRule type="colorScale" priority="98">
      <colorScale>
        <cfvo type="formula" val="&lt;5"/>
        <cfvo type="formula" val="&gt;5"/>
        <color rgb="FFFF0000"/>
        <color rgb="FF0000FF"/>
      </colorScale>
    </cfRule>
  </conditionalFormatting>
  <conditionalFormatting sqref="P20">
    <cfRule type="cellIs" priority="99" operator="lessThan" aboveAverage="0" equalAverage="0" bottom="0" percent="0" rank="0" text="" dxfId="0">
      <formula>5</formula>
    </cfRule>
    <cfRule type="cellIs" priority="100" operator="greaterThanOrEqual" aboveAverage="0" equalAverage="0" bottom="0" percent="0" rank="0" text="" dxfId="1">
      <formula>5</formula>
    </cfRule>
  </conditionalFormatting>
  <conditionalFormatting sqref="P24">
    <cfRule type="colorScale" priority="101">
      <colorScale>
        <cfvo type="formula" val="&lt;5"/>
        <cfvo type="formula" val="&gt;5"/>
        <color rgb="FFFF0000"/>
        <color rgb="FF0000FF"/>
      </colorScale>
    </cfRule>
  </conditionalFormatting>
  <conditionalFormatting sqref="P24">
    <cfRule type="cellIs" priority="102" operator="lessThan" aboveAverage="0" equalAverage="0" bottom="0" percent="0" rank="0" text="" dxfId="0">
      <formula>5</formula>
    </cfRule>
    <cfRule type="cellIs" priority="103" operator="greaterThanOrEqual" aboveAverage="0" equalAverage="0" bottom="0" percent="0" rank="0" text="" dxfId="1">
      <formula>5</formula>
    </cfRule>
  </conditionalFormatting>
  <conditionalFormatting sqref="P25">
    <cfRule type="colorScale" priority="104">
      <colorScale>
        <cfvo type="formula" val="&lt;5"/>
        <cfvo type="formula" val="&gt;5"/>
        <color rgb="FFFF0000"/>
        <color rgb="FF0000FF"/>
      </colorScale>
    </cfRule>
  </conditionalFormatting>
  <conditionalFormatting sqref="P25">
    <cfRule type="cellIs" priority="105" operator="lessThan" aboveAverage="0" equalAverage="0" bottom="0" percent="0" rank="0" text="" dxfId="0">
      <formula>5</formula>
    </cfRule>
    <cfRule type="cellIs" priority="106" operator="greaterThanOrEqual" aboveAverage="0" equalAverage="0" bottom="0" percent="0" rank="0" text="" dxfId="1">
      <formula>5</formula>
    </cfRule>
  </conditionalFormatting>
  <conditionalFormatting sqref="P26">
    <cfRule type="colorScale" priority="107">
      <colorScale>
        <cfvo type="formula" val="&lt;5"/>
        <cfvo type="formula" val="&gt;5"/>
        <color rgb="FFFF0000"/>
        <color rgb="FF0000FF"/>
      </colorScale>
    </cfRule>
  </conditionalFormatting>
  <conditionalFormatting sqref="P26">
    <cfRule type="cellIs" priority="108" operator="lessThan" aboveAverage="0" equalAverage="0" bottom="0" percent="0" rank="0" text="" dxfId="0">
      <formula>5</formula>
    </cfRule>
    <cfRule type="cellIs" priority="109" operator="greaterThanOrEqual" aboveAverage="0" equalAverage="0" bottom="0" percent="0" rank="0" text="" dxfId="1">
      <formula>5</formula>
    </cfRule>
  </conditionalFormatting>
  <conditionalFormatting sqref="P34">
    <cfRule type="colorScale" priority="110">
      <colorScale>
        <cfvo type="formula" val="&lt;5"/>
        <cfvo type="formula" val="&gt;5"/>
        <color rgb="FFFF0000"/>
        <color rgb="FF0000FF"/>
      </colorScale>
    </cfRule>
  </conditionalFormatting>
  <conditionalFormatting sqref="P34">
    <cfRule type="cellIs" priority="111" operator="lessThan" aboveAverage="0" equalAverage="0" bottom="0" percent="0" rank="0" text="" dxfId="0">
      <formula>5</formula>
    </cfRule>
    <cfRule type="cellIs" priority="112" operator="greaterThanOrEqual" aboveAverage="0" equalAverage="0" bottom="0" percent="0" rank="0" text="" dxfId="1">
      <formula>5</formula>
    </cfRule>
  </conditionalFormatting>
  <conditionalFormatting sqref="P39">
    <cfRule type="colorScale" priority="113">
      <colorScale>
        <cfvo type="formula" val="&lt;5"/>
        <cfvo type="formula" val="&gt;5"/>
        <color rgb="FFFF0000"/>
        <color rgb="FF0000FF"/>
      </colorScale>
    </cfRule>
  </conditionalFormatting>
  <conditionalFormatting sqref="P39">
    <cfRule type="cellIs" priority="114" operator="lessThan" aboveAverage="0" equalAverage="0" bottom="0" percent="0" rank="0" text="" dxfId="0">
      <formula>5</formula>
    </cfRule>
    <cfRule type="cellIs" priority="115" operator="greaterThanOrEqual" aboveAverage="0" equalAverage="0" bottom="0" percent="0" rank="0" text="" dxfId="1">
      <formula>5</formula>
    </cfRule>
  </conditionalFormatting>
  <conditionalFormatting sqref="P38">
    <cfRule type="colorScale" priority="116">
      <colorScale>
        <cfvo type="formula" val="&lt;5"/>
        <cfvo type="formula" val="&gt;5"/>
        <color rgb="FFFF0000"/>
        <color rgb="FF0000FF"/>
      </colorScale>
    </cfRule>
  </conditionalFormatting>
  <conditionalFormatting sqref="P38">
    <cfRule type="cellIs" priority="117" operator="lessThan" aboveAverage="0" equalAverage="0" bottom="0" percent="0" rank="0" text="" dxfId="0">
      <formula>5</formula>
    </cfRule>
    <cfRule type="cellIs" priority="118" operator="greaterThanOrEqual" aboveAverage="0" equalAverage="0" bottom="0" percent="0" rank="0" text="" dxfId="1">
      <formula>5</formula>
    </cfRule>
  </conditionalFormatting>
  <conditionalFormatting sqref="P45">
    <cfRule type="colorScale" priority="119">
      <colorScale>
        <cfvo type="formula" val="&lt;5"/>
        <cfvo type="formula" val="&gt;5"/>
        <color rgb="FFFF0000"/>
        <color rgb="FF0000FF"/>
      </colorScale>
    </cfRule>
  </conditionalFormatting>
  <conditionalFormatting sqref="P45">
    <cfRule type="cellIs" priority="120" operator="lessThan" aboveAverage="0" equalAverage="0" bottom="0" percent="0" rank="0" text="" dxfId="0">
      <formula>5</formula>
    </cfRule>
    <cfRule type="cellIs" priority="121" operator="greaterThanOrEqual" aboveAverage="0" equalAverage="0" bottom="0" percent="0" rank="0" text="" dxfId="1">
      <formula>5</formula>
    </cfRule>
  </conditionalFormatting>
  <conditionalFormatting sqref="P50">
    <cfRule type="colorScale" priority="122">
      <colorScale>
        <cfvo type="formula" val="&lt;5"/>
        <cfvo type="formula" val="&gt;5"/>
        <color rgb="FFFF0000"/>
        <color rgb="FF0000FF"/>
      </colorScale>
    </cfRule>
  </conditionalFormatting>
  <conditionalFormatting sqref="P50">
    <cfRule type="cellIs" priority="123" operator="lessThan" aboveAverage="0" equalAverage="0" bottom="0" percent="0" rank="0" text="" dxfId="0">
      <formula>5</formula>
    </cfRule>
    <cfRule type="cellIs" priority="124" operator="greaterThanOrEqual" aboveAverage="0" equalAverage="0" bottom="0" percent="0" rank="0" text="" dxfId="1">
      <formula>5</formula>
    </cfRule>
  </conditionalFormatting>
  <conditionalFormatting sqref="P52">
    <cfRule type="colorScale" priority="125">
      <colorScale>
        <cfvo type="formula" val="&lt;5"/>
        <cfvo type="formula" val="&gt;5"/>
        <color rgb="FFFF0000"/>
        <color rgb="FF0000FF"/>
      </colorScale>
    </cfRule>
  </conditionalFormatting>
  <conditionalFormatting sqref="P52">
    <cfRule type="cellIs" priority="126" operator="lessThan" aboveAverage="0" equalAverage="0" bottom="0" percent="0" rank="0" text="" dxfId="0">
      <formula>5</formula>
    </cfRule>
    <cfRule type="cellIs" priority="127" operator="greaterThanOrEqual" aboveAverage="0" equalAverage="0" bottom="0" percent="0" rank="0" text="" dxfId="1">
      <formula>5</formula>
    </cfRule>
  </conditionalFormatting>
  <conditionalFormatting sqref="P53">
    <cfRule type="colorScale" priority="128">
      <colorScale>
        <cfvo type="formula" val="&lt;5"/>
        <cfvo type="formula" val="&gt;5"/>
        <color rgb="FFFF0000"/>
        <color rgb="FF0000FF"/>
      </colorScale>
    </cfRule>
  </conditionalFormatting>
  <conditionalFormatting sqref="P53">
    <cfRule type="cellIs" priority="129" operator="lessThan" aboveAverage="0" equalAverage="0" bottom="0" percent="0" rank="0" text="" dxfId="0">
      <formula>5</formula>
    </cfRule>
    <cfRule type="cellIs" priority="130" operator="greaterThanOrEqual" aboveAverage="0" equalAverage="0" bottom="0" percent="0" rank="0" text="" dxfId="1">
      <formula>5</formula>
    </cfRule>
  </conditionalFormatting>
  <conditionalFormatting sqref="P54">
    <cfRule type="colorScale" priority="131">
      <colorScale>
        <cfvo type="formula" val="&lt;5"/>
        <cfvo type="formula" val="&gt;5"/>
        <color rgb="FFFF0000"/>
        <color rgb="FF0000FF"/>
      </colorScale>
    </cfRule>
  </conditionalFormatting>
  <conditionalFormatting sqref="P54">
    <cfRule type="cellIs" priority="132" operator="lessThan" aboveAverage="0" equalAverage="0" bottom="0" percent="0" rank="0" text="" dxfId="0">
      <formula>5</formula>
    </cfRule>
    <cfRule type="cellIs" priority="133" operator="greaterThanOrEqual" aboveAverage="0" equalAverage="0" bottom="0" percent="0" rank="0" text="" dxfId="1">
      <formula>5</formula>
    </cfRule>
  </conditionalFormatting>
  <conditionalFormatting sqref="P55">
    <cfRule type="colorScale" priority="134">
      <colorScale>
        <cfvo type="formula" val="&lt;5"/>
        <cfvo type="formula" val="&gt;5"/>
        <color rgb="FFFF0000"/>
        <color rgb="FF0000FF"/>
      </colorScale>
    </cfRule>
  </conditionalFormatting>
  <conditionalFormatting sqref="P55">
    <cfRule type="cellIs" priority="135" operator="lessThan" aboveAverage="0" equalAverage="0" bottom="0" percent="0" rank="0" text="" dxfId="0">
      <formula>5</formula>
    </cfRule>
    <cfRule type="cellIs" priority="136" operator="greaterThanOrEqual" aboveAverage="0" equalAverage="0" bottom="0" percent="0" rank="0" text="" dxfId="1">
      <formula>5</formula>
    </cfRule>
  </conditionalFormatting>
  <conditionalFormatting sqref="P56">
    <cfRule type="colorScale" priority="137">
      <colorScale>
        <cfvo type="formula" val="&lt;5"/>
        <cfvo type="formula" val="&gt;5"/>
        <color rgb="FFFF0000"/>
        <color rgb="FF0000FF"/>
      </colorScale>
    </cfRule>
  </conditionalFormatting>
  <conditionalFormatting sqref="P56">
    <cfRule type="cellIs" priority="138" operator="lessThan" aboveAverage="0" equalAverage="0" bottom="0" percent="0" rank="0" text="" dxfId="0">
      <formula>5</formula>
    </cfRule>
    <cfRule type="cellIs" priority="139" operator="greaterThanOrEqual" aboveAverage="0" equalAverage="0" bottom="0" percent="0" rank="0" text="" dxfId="1">
      <formula>5</formula>
    </cfRule>
  </conditionalFormatting>
  <conditionalFormatting sqref="P57">
    <cfRule type="colorScale" priority="140">
      <colorScale>
        <cfvo type="formula" val="&lt;5"/>
        <cfvo type="formula" val="&gt;5"/>
        <color rgb="FFFF0000"/>
        <color rgb="FF0000FF"/>
      </colorScale>
    </cfRule>
  </conditionalFormatting>
  <conditionalFormatting sqref="P57">
    <cfRule type="cellIs" priority="141" operator="lessThan" aboveAverage="0" equalAverage="0" bottom="0" percent="0" rank="0" text="" dxfId="0">
      <formula>5</formula>
    </cfRule>
    <cfRule type="cellIs" priority="142" operator="greaterThanOrEqual" aboveAverage="0" equalAverage="0" bottom="0" percent="0" rank="0" text="" dxfId="1">
      <formula>5</formula>
    </cfRule>
  </conditionalFormatting>
  <conditionalFormatting sqref="P58">
    <cfRule type="colorScale" priority="143">
      <colorScale>
        <cfvo type="formula" val="&lt;5"/>
        <cfvo type="formula" val="&gt;5"/>
        <color rgb="FFFF0000"/>
        <color rgb="FF0000FF"/>
      </colorScale>
    </cfRule>
  </conditionalFormatting>
  <conditionalFormatting sqref="P58">
    <cfRule type="cellIs" priority="144" operator="lessThan" aboveAverage="0" equalAverage="0" bottom="0" percent="0" rank="0" text="" dxfId="0">
      <formula>5</formula>
    </cfRule>
    <cfRule type="cellIs" priority="145" operator="greaterThanOrEqual" aboveAverage="0" equalAverage="0" bottom="0" percent="0" rank="0" text="" dxfId="1">
      <formula>5</formula>
    </cfRule>
  </conditionalFormatting>
  <conditionalFormatting sqref="P59">
    <cfRule type="colorScale" priority="146">
      <colorScale>
        <cfvo type="formula" val="&lt;5"/>
        <cfvo type="formula" val="&gt;5"/>
        <color rgb="FFFF0000"/>
        <color rgb="FF0000FF"/>
      </colorScale>
    </cfRule>
  </conditionalFormatting>
  <conditionalFormatting sqref="P59">
    <cfRule type="cellIs" priority="147" operator="lessThan" aboveAverage="0" equalAverage="0" bottom="0" percent="0" rank="0" text="" dxfId="0">
      <formula>5</formula>
    </cfRule>
    <cfRule type="cellIs" priority="148" operator="greaterThanOrEqual" aboveAverage="0" equalAverage="0" bottom="0" percent="0" rank="0" text="" dxfId="1">
      <formula>5</formula>
    </cfRule>
  </conditionalFormatting>
  <conditionalFormatting sqref="P60">
    <cfRule type="colorScale" priority="149">
      <colorScale>
        <cfvo type="formula" val="&lt;5"/>
        <cfvo type="formula" val="&gt;5"/>
        <color rgb="FFFF0000"/>
        <color rgb="FF0000FF"/>
      </colorScale>
    </cfRule>
  </conditionalFormatting>
  <conditionalFormatting sqref="P60">
    <cfRule type="cellIs" priority="150" operator="lessThan" aboveAverage="0" equalAverage="0" bottom="0" percent="0" rank="0" text="" dxfId="0">
      <formula>5</formula>
    </cfRule>
    <cfRule type="cellIs" priority="151" operator="greaterThanOrEqual" aboveAverage="0" equalAverage="0" bottom="0" percent="0" rank="0" text="" dxfId="1">
      <formula>5</formula>
    </cfRule>
  </conditionalFormatting>
  <conditionalFormatting sqref="P61">
    <cfRule type="colorScale" priority="152">
      <colorScale>
        <cfvo type="formula" val="&lt;5"/>
        <cfvo type="formula" val="&gt;5"/>
        <color rgb="FFFF0000"/>
        <color rgb="FF0000FF"/>
      </colorScale>
    </cfRule>
  </conditionalFormatting>
  <conditionalFormatting sqref="P61">
    <cfRule type="cellIs" priority="153" operator="lessThan" aboveAverage="0" equalAverage="0" bottom="0" percent="0" rank="0" text="" dxfId="0">
      <formula>5</formula>
    </cfRule>
    <cfRule type="cellIs" priority="154" operator="greaterThanOrEqual" aboveAverage="0" equalAverage="0" bottom="0" percent="0" rank="0" text="" dxfId="1">
      <formula>5</formula>
    </cfRule>
  </conditionalFormatting>
  <conditionalFormatting sqref="P63">
    <cfRule type="colorScale" priority="155">
      <colorScale>
        <cfvo type="formula" val="&lt;5"/>
        <cfvo type="formula" val="&gt;5"/>
        <color rgb="FFFF0000"/>
        <color rgb="FF0000FF"/>
      </colorScale>
    </cfRule>
  </conditionalFormatting>
  <conditionalFormatting sqref="P63">
    <cfRule type="cellIs" priority="156" operator="lessThan" aboveAverage="0" equalAverage="0" bottom="0" percent="0" rank="0" text="" dxfId="0">
      <formula>5</formula>
    </cfRule>
    <cfRule type="cellIs" priority="157" operator="greaterThanOrEqual" aboveAverage="0" equalAverage="0" bottom="0" percent="0" rank="0" text="" dxfId="1">
      <formula>5</formula>
    </cfRule>
  </conditionalFormatting>
  <conditionalFormatting sqref="P65">
    <cfRule type="colorScale" priority="158">
      <colorScale>
        <cfvo type="formula" val="&lt;5"/>
        <cfvo type="formula" val="&gt;5"/>
        <color rgb="FFFF0000"/>
        <color rgb="FF0000FF"/>
      </colorScale>
    </cfRule>
  </conditionalFormatting>
  <conditionalFormatting sqref="P65">
    <cfRule type="cellIs" priority="159" operator="lessThan" aboveAverage="0" equalAverage="0" bottom="0" percent="0" rank="0" text="" dxfId="0">
      <formula>5</formula>
    </cfRule>
    <cfRule type="cellIs" priority="160" operator="greaterThanOrEqual" aboveAverage="0" equalAverage="0" bottom="0" percent="0" rank="0" text="" dxfId="1">
      <formula>5</formula>
    </cfRule>
  </conditionalFormatting>
  <conditionalFormatting sqref="P67">
    <cfRule type="colorScale" priority="161">
      <colorScale>
        <cfvo type="formula" val="&lt;5"/>
        <cfvo type="formula" val="&gt;5"/>
        <color rgb="FFFF0000"/>
        <color rgb="FF0000FF"/>
      </colorScale>
    </cfRule>
  </conditionalFormatting>
  <conditionalFormatting sqref="P67">
    <cfRule type="cellIs" priority="162" operator="lessThan" aboveAverage="0" equalAverage="0" bottom="0" percent="0" rank="0" text="" dxfId="0">
      <formula>5</formula>
    </cfRule>
    <cfRule type="cellIs" priority="163" operator="greaterThanOrEqual" aboveAverage="0" equalAverage="0" bottom="0" percent="0" rank="0" text="" dxfId="1">
      <formula>5</formula>
    </cfRule>
  </conditionalFormatting>
  <conditionalFormatting sqref="P68">
    <cfRule type="colorScale" priority="164">
      <colorScale>
        <cfvo type="formula" val="&lt;5"/>
        <cfvo type="formula" val="&gt;5"/>
        <color rgb="FFFF0000"/>
        <color rgb="FF0000FF"/>
      </colorScale>
    </cfRule>
  </conditionalFormatting>
  <conditionalFormatting sqref="P68">
    <cfRule type="cellIs" priority="165" operator="lessThan" aboveAverage="0" equalAverage="0" bottom="0" percent="0" rank="0" text="" dxfId="0">
      <formula>5</formula>
    </cfRule>
    <cfRule type="cellIs" priority="166" operator="greaterThanOrEqual" aboveAverage="0" equalAverage="0" bottom="0" percent="0" rank="0" text="" dxfId="1">
      <formula>5</formula>
    </cfRule>
  </conditionalFormatting>
  <conditionalFormatting sqref="P69">
    <cfRule type="colorScale" priority="167">
      <colorScale>
        <cfvo type="formula" val="&lt;5"/>
        <cfvo type="formula" val="&gt;5"/>
        <color rgb="FFFF0000"/>
        <color rgb="FF0000FF"/>
      </colorScale>
    </cfRule>
  </conditionalFormatting>
  <conditionalFormatting sqref="P69">
    <cfRule type="cellIs" priority="168" operator="lessThan" aboveAverage="0" equalAverage="0" bottom="0" percent="0" rank="0" text="" dxfId="0">
      <formula>5</formula>
    </cfRule>
    <cfRule type="cellIs" priority="169" operator="greaterThanOrEqual" aboveAverage="0" equalAverage="0" bottom="0" percent="0" rank="0" text="" dxfId="1">
      <formula>5</formula>
    </cfRule>
  </conditionalFormatting>
  <conditionalFormatting sqref="P70">
    <cfRule type="colorScale" priority="170">
      <colorScale>
        <cfvo type="formula" val="&lt;5"/>
        <cfvo type="formula" val="&gt;5"/>
        <color rgb="FFFF0000"/>
        <color rgb="FF0000FF"/>
      </colorScale>
    </cfRule>
  </conditionalFormatting>
  <conditionalFormatting sqref="P70">
    <cfRule type="cellIs" priority="171" operator="lessThan" aboveAverage="0" equalAverage="0" bottom="0" percent="0" rank="0" text="" dxfId="0">
      <formula>5</formula>
    </cfRule>
    <cfRule type="cellIs" priority="172" operator="greaterThanOrEqual" aboveAverage="0" equalAverage="0" bottom="0" percent="0" rank="0" text="" dxfId="1">
      <formula>5</formula>
    </cfRule>
  </conditionalFormatting>
  <conditionalFormatting sqref="P71">
    <cfRule type="colorScale" priority="173">
      <colorScale>
        <cfvo type="formula" val="&lt;5"/>
        <cfvo type="formula" val="&gt;5"/>
        <color rgb="FFFF0000"/>
        <color rgb="FF0000FF"/>
      </colorScale>
    </cfRule>
  </conditionalFormatting>
  <conditionalFormatting sqref="P71">
    <cfRule type="cellIs" priority="174" operator="lessThan" aboveAverage="0" equalAverage="0" bottom="0" percent="0" rank="0" text="" dxfId="0">
      <formula>5</formula>
    </cfRule>
    <cfRule type="cellIs" priority="175" operator="greaterThanOrEqual" aboveAverage="0" equalAverage="0" bottom="0" percent="0" rank="0" text="" dxfId="1">
      <formula>5</formula>
    </cfRule>
  </conditionalFormatting>
  <conditionalFormatting sqref="P72">
    <cfRule type="colorScale" priority="176">
      <colorScale>
        <cfvo type="formula" val="&lt;5"/>
        <cfvo type="formula" val="&gt;5"/>
        <color rgb="FFFF0000"/>
        <color rgb="FF0000FF"/>
      </colorScale>
    </cfRule>
  </conditionalFormatting>
  <conditionalFormatting sqref="P72">
    <cfRule type="cellIs" priority="177" operator="lessThan" aboveAverage="0" equalAverage="0" bottom="0" percent="0" rank="0" text="" dxfId="0">
      <formula>5</formula>
    </cfRule>
    <cfRule type="cellIs" priority="178" operator="greaterThanOrEqual" aboveAverage="0" equalAverage="0" bottom="0" percent="0" rank="0" text="" dxfId="1">
      <formula>5</formula>
    </cfRule>
  </conditionalFormatting>
  <conditionalFormatting sqref="P22">
    <cfRule type="colorScale" priority="179">
      <colorScale>
        <cfvo type="formula" val="&lt;5"/>
        <cfvo type="formula" val="&gt;5"/>
        <color rgb="FFFF0000"/>
        <color rgb="FF0000FF"/>
      </colorScale>
    </cfRule>
  </conditionalFormatting>
  <conditionalFormatting sqref="P22">
    <cfRule type="cellIs" priority="180" operator="lessThan" aboveAverage="0" equalAverage="0" bottom="0" percent="0" rank="0" text="" dxfId="0">
      <formula>5</formula>
    </cfRule>
    <cfRule type="cellIs" priority="181" operator="greaterThanOrEqual" aboveAverage="0" equalAverage="0" bottom="0" percent="0" rank="0" text="" dxfId="1">
      <formula>5</formula>
    </cfRule>
  </conditionalFormatting>
  <conditionalFormatting sqref="P31">
    <cfRule type="colorScale" priority="182">
      <colorScale>
        <cfvo type="formula" val="&lt;5"/>
        <cfvo type="formula" val="&gt;5"/>
        <color rgb="FFFF0000"/>
        <color rgb="FF0000FF"/>
      </colorScale>
    </cfRule>
  </conditionalFormatting>
  <conditionalFormatting sqref="P31">
    <cfRule type="cellIs" priority="183" operator="lessThan" aboveAverage="0" equalAverage="0" bottom="0" percent="0" rank="0" text="" dxfId="0">
      <formula>5</formula>
    </cfRule>
    <cfRule type="cellIs" priority="184" operator="greaterThanOrEqual" aboveAverage="0" equalAverage="0" bottom="0" percent="0" rank="0" text="" dxfId="1">
      <formula>5</formula>
    </cfRule>
  </conditionalFormatting>
  <conditionalFormatting sqref="P35">
    <cfRule type="colorScale" priority="185">
      <colorScale>
        <cfvo type="formula" val="&lt;5"/>
        <cfvo type="formula" val="&gt;5"/>
        <color rgb="FFFF0000"/>
        <color rgb="FF0000FF"/>
      </colorScale>
    </cfRule>
  </conditionalFormatting>
  <conditionalFormatting sqref="P35">
    <cfRule type="cellIs" priority="186" operator="lessThan" aboveAverage="0" equalAverage="0" bottom="0" percent="0" rank="0" text="" dxfId="0">
      <formula>5</formula>
    </cfRule>
    <cfRule type="cellIs" priority="187" operator="greaterThanOrEqual" aboveAverage="0" equalAverage="0" bottom="0" percent="0" rank="0" text="" dxfId="1">
      <formula>5</formula>
    </cfRule>
  </conditionalFormatting>
  <conditionalFormatting sqref="P36">
    <cfRule type="colorScale" priority="188">
      <colorScale>
        <cfvo type="formula" val="&lt;5"/>
        <cfvo type="formula" val="&gt;5"/>
        <color rgb="FFFF0000"/>
        <color rgb="FF0000FF"/>
      </colorScale>
    </cfRule>
  </conditionalFormatting>
  <conditionalFormatting sqref="P36">
    <cfRule type="cellIs" priority="189" operator="lessThan" aboveAverage="0" equalAverage="0" bottom="0" percent="0" rank="0" text="" dxfId="0">
      <formula>5</formula>
    </cfRule>
    <cfRule type="cellIs" priority="190" operator="greaterThanOrEqual" aboveAverage="0" equalAverage="0" bottom="0" percent="0" rank="0" text="" dxfId="1">
      <formula>5</formula>
    </cfRule>
  </conditionalFormatting>
  <conditionalFormatting sqref="P49">
    <cfRule type="colorScale" priority="191">
      <colorScale>
        <cfvo type="formula" val="&lt;5"/>
        <cfvo type="formula" val="&gt;5"/>
        <color rgb="FFFF0000"/>
        <color rgb="FF0000FF"/>
      </colorScale>
    </cfRule>
  </conditionalFormatting>
  <conditionalFormatting sqref="P49">
    <cfRule type="cellIs" priority="192" operator="lessThan" aboveAverage="0" equalAverage="0" bottom="0" percent="0" rank="0" text="" dxfId="0">
      <formula>5</formula>
    </cfRule>
    <cfRule type="cellIs" priority="193" operator="greaterThanOrEqual" aboveAverage="0" equalAverage="0" bottom="0" percent="0" rank="0" text="" dxfId="1">
      <formula>5</formula>
    </cfRule>
  </conditionalFormatting>
  <conditionalFormatting sqref="P37">
    <cfRule type="colorScale" priority="194">
      <colorScale>
        <cfvo type="formula" val="&lt;5"/>
        <cfvo type="formula" val="&gt;5"/>
        <color rgb="FFFF0000"/>
        <color rgb="FF0000FF"/>
      </colorScale>
    </cfRule>
  </conditionalFormatting>
  <conditionalFormatting sqref="P37">
    <cfRule type="cellIs" priority="195" operator="lessThan" aboveAverage="0" equalAverage="0" bottom="0" percent="0" rank="0" text="" dxfId="0">
      <formula>5</formula>
    </cfRule>
    <cfRule type="cellIs" priority="196" operator="greaterThanOrEqual" aboveAverage="0" equalAverage="0" bottom="0" percent="0" rank="0" text="" dxfId="1">
      <formula>5</formula>
    </cfRule>
  </conditionalFormatting>
  <conditionalFormatting sqref="P19">
    <cfRule type="colorScale" priority="197">
      <colorScale>
        <cfvo type="formula" val="&lt;5"/>
        <cfvo type="formula" val="&gt;5"/>
        <color rgb="FFFF0000"/>
        <color rgb="FF0000FF"/>
      </colorScale>
    </cfRule>
  </conditionalFormatting>
  <conditionalFormatting sqref="P19">
    <cfRule type="cellIs" priority="198" operator="lessThan" aboveAverage="0" equalAverage="0" bottom="0" percent="0" rank="0" text="" dxfId="0">
      <formula>5</formula>
    </cfRule>
    <cfRule type="cellIs" priority="199" operator="greaterThanOrEqual" aboveAverage="0" equalAverage="0" bottom="0" percent="0" rank="0" text="" dxfId="1">
      <formula>5</formula>
    </cfRule>
  </conditionalFormatting>
  <conditionalFormatting sqref="P46">
    <cfRule type="colorScale" priority="200">
      <colorScale>
        <cfvo type="formula" val="&lt;5"/>
        <cfvo type="formula" val="&gt;5"/>
        <color rgb="FFFF0000"/>
        <color rgb="FF0000FF"/>
      </colorScale>
    </cfRule>
  </conditionalFormatting>
  <conditionalFormatting sqref="P46">
    <cfRule type="cellIs" priority="201" operator="lessThan" aboveAverage="0" equalAverage="0" bottom="0" percent="0" rank="0" text="" dxfId="0">
      <formula>5</formula>
    </cfRule>
    <cfRule type="cellIs" priority="202" operator="greaterThanOrEqual" aboveAverage="0" equalAverage="0" bottom="0" percent="0" rank="0" text="" dxfId="1">
      <formula>5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8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40" activeCellId="0" sqref="A40"/>
    </sheetView>
  </sheetViews>
  <sheetFormatPr defaultRowHeight="12.8" zeroHeight="false" outlineLevelRow="0" outlineLevelCol="0"/>
  <cols>
    <col collapsed="false" customWidth="true" hidden="false" outlineLevel="0" max="1" min="1" style="0" width="11.61"/>
    <col collapsed="false" customWidth="true" hidden="false" outlineLevel="0" max="2" min="2" style="0" width="23.35"/>
    <col collapsed="false" customWidth="true" hidden="false" outlineLevel="0" max="3" min="3" style="24" width="3.37"/>
    <col collapsed="false" customWidth="true" hidden="false" outlineLevel="0" max="4" min="4" style="24" width="6.08"/>
    <col collapsed="false" customWidth="true" hidden="false" outlineLevel="0" max="5" min="5" style="0" width="8.21"/>
    <col collapsed="false" customWidth="true" hidden="false" outlineLevel="0" max="6" min="6" style="24" width="3.51"/>
    <col collapsed="false" customWidth="true" hidden="false" outlineLevel="0" max="7" min="7" style="0" width="8.21"/>
    <col collapsed="false" customWidth="true" hidden="false" outlineLevel="0" max="8" min="8" style="0" width="6.08"/>
    <col collapsed="false" customWidth="true" hidden="false" outlineLevel="0" max="9" min="9" style="0" width="3.51"/>
    <col collapsed="false" customWidth="true" hidden="false" outlineLevel="0" max="10" min="10" style="0" width="8.21"/>
    <col collapsed="false" customWidth="true" hidden="false" outlineLevel="0" max="11" min="11" style="0" width="8.37"/>
    <col collapsed="false" customWidth="true" hidden="false" outlineLevel="0" max="251" min="12" style="0" width="8.21"/>
    <col collapsed="false" customWidth="true" hidden="false" outlineLevel="0" max="1025" min="252" style="0" width="8.37"/>
  </cols>
  <sheetData>
    <row r="1" customFormat="false" ht="12.8" hidden="false" customHeight="false" outlineLevel="0" collapsed="false">
      <c r="A1" s="0" t="s">
        <v>16</v>
      </c>
      <c r="D1" s="24" t="s">
        <v>17</v>
      </c>
      <c r="H1" s="0" t="s">
        <v>18</v>
      </c>
      <c r="I1" s="0" t="s">
        <v>187</v>
      </c>
      <c r="K1" s="0" t="s">
        <v>188</v>
      </c>
    </row>
    <row r="3" customFormat="false" ht="12.8" hidden="false" customHeight="false" outlineLevel="0" collapsed="false">
      <c r="A3" s="0" t="n">
        <v>101487</v>
      </c>
      <c r="B3" s="0" t="s">
        <v>189</v>
      </c>
      <c r="C3" s="24" t="n">
        <v>42</v>
      </c>
      <c r="D3" s="24" t="s">
        <v>190</v>
      </c>
      <c r="F3" s="24" t="s">
        <v>191</v>
      </c>
    </row>
    <row r="4" customFormat="false" ht="12.8" hidden="false" customHeight="false" outlineLevel="0" collapsed="false">
      <c r="A4" s="0" t="n">
        <v>116134</v>
      </c>
      <c r="B4" s="0" t="s">
        <v>192</v>
      </c>
      <c r="C4" s="24" t="n">
        <v>34</v>
      </c>
      <c r="D4" s="24" t="s">
        <v>190</v>
      </c>
      <c r="F4" s="24" t="s">
        <v>193</v>
      </c>
    </row>
    <row r="5" customFormat="false" ht="12.8" hidden="false" customHeight="false" outlineLevel="0" collapsed="false">
      <c r="A5" s="0" t="n">
        <v>117079</v>
      </c>
      <c r="B5" s="0" t="s">
        <v>194</v>
      </c>
      <c r="C5" s="24" t="n">
        <v>42</v>
      </c>
      <c r="D5" s="24" t="s">
        <v>190</v>
      </c>
      <c r="F5" s="24" t="s">
        <v>191</v>
      </c>
    </row>
    <row r="6" customFormat="false" ht="12.8" hidden="false" customHeight="false" outlineLevel="0" collapsed="false">
      <c r="A6" s="0" t="n">
        <v>118363</v>
      </c>
      <c r="B6" s="0" t="s">
        <v>195</v>
      </c>
      <c r="C6" s="24" t="n">
        <v>34</v>
      </c>
      <c r="D6" s="24" t="s">
        <v>190</v>
      </c>
      <c r="F6" s="24" t="s">
        <v>196</v>
      </c>
    </row>
    <row r="7" customFormat="false" ht="12.8" hidden="false" customHeight="false" outlineLevel="0" collapsed="false">
      <c r="A7" s="0" t="n">
        <v>118827</v>
      </c>
      <c r="B7" s="0" t="s">
        <v>197</v>
      </c>
      <c r="C7" s="24" t="n">
        <v>34</v>
      </c>
      <c r="D7" s="24" t="s">
        <v>190</v>
      </c>
      <c r="F7" s="24" t="s">
        <v>193</v>
      </c>
    </row>
    <row r="8" customFormat="false" ht="12.8" hidden="false" customHeight="false" outlineLevel="0" collapsed="false">
      <c r="A8" s="0" t="n">
        <v>119494</v>
      </c>
      <c r="B8" s="0" t="s">
        <v>198</v>
      </c>
      <c r="C8" s="24" t="n">
        <v>34</v>
      </c>
      <c r="D8" s="24" t="s">
        <v>190</v>
      </c>
      <c r="F8" s="24" t="s">
        <v>193</v>
      </c>
    </row>
    <row r="9" customFormat="false" ht="12.8" hidden="false" customHeight="false" outlineLevel="0" collapsed="false">
      <c r="A9" s="0" t="n">
        <v>119637</v>
      </c>
      <c r="B9" s="0" t="s">
        <v>199</v>
      </c>
      <c r="C9" s="24" t="n">
        <v>42</v>
      </c>
      <c r="D9" s="24" t="s">
        <v>190</v>
      </c>
      <c r="E9" s="0" t="s">
        <v>200</v>
      </c>
      <c r="F9" s="24" t="s">
        <v>191</v>
      </c>
    </row>
    <row r="10" customFormat="false" ht="12.8" hidden="false" customHeight="false" outlineLevel="0" collapsed="false">
      <c r="A10" s="0" t="n">
        <v>135680</v>
      </c>
      <c r="B10" s="0" t="s">
        <v>201</v>
      </c>
      <c r="C10" s="24" t="n">
        <v>42</v>
      </c>
      <c r="D10" s="24" t="s">
        <v>190</v>
      </c>
      <c r="F10" s="24" t="s">
        <v>191</v>
      </c>
    </row>
    <row r="11" customFormat="false" ht="12.8" hidden="false" customHeight="false" outlineLevel="0" collapsed="false">
      <c r="A11" s="0" t="n">
        <v>135986</v>
      </c>
      <c r="B11" s="0" t="s">
        <v>202</v>
      </c>
      <c r="C11" s="24" t="n">
        <v>42</v>
      </c>
      <c r="D11" s="24" t="s">
        <v>190</v>
      </c>
      <c r="F11" s="24" t="s">
        <v>191</v>
      </c>
    </row>
    <row r="12" customFormat="false" ht="12.8" hidden="false" customHeight="false" outlineLevel="0" collapsed="false">
      <c r="A12" s="0" t="n">
        <v>136454</v>
      </c>
      <c r="B12" s="0" t="s">
        <v>203</v>
      </c>
      <c r="C12" s="24" t="n">
        <v>42</v>
      </c>
      <c r="D12" s="24" t="s">
        <v>190</v>
      </c>
      <c r="F12" s="24" t="s">
        <v>191</v>
      </c>
    </row>
    <row r="13" customFormat="false" ht="12.8" hidden="false" customHeight="false" outlineLevel="0" collapsed="false">
      <c r="A13" s="0" t="n">
        <v>137733</v>
      </c>
      <c r="B13" s="0" t="s">
        <v>204</v>
      </c>
      <c r="C13" s="24" t="n">
        <v>42</v>
      </c>
      <c r="D13" s="24" t="s">
        <v>190</v>
      </c>
      <c r="F13" s="24" t="s">
        <v>191</v>
      </c>
    </row>
    <row r="14" customFormat="false" ht="12.8" hidden="false" customHeight="false" outlineLevel="0" collapsed="false">
      <c r="A14" s="0" t="n">
        <v>138745</v>
      </c>
      <c r="B14" s="0" t="s">
        <v>205</v>
      </c>
      <c r="C14" s="24" t="n">
        <v>42</v>
      </c>
      <c r="D14" s="24" t="s">
        <v>190</v>
      </c>
      <c r="F14" s="24" t="s">
        <v>191</v>
      </c>
    </row>
    <row r="15" customFormat="false" ht="12.8" hidden="false" customHeight="false" outlineLevel="0" collapsed="false">
      <c r="A15" s="0" t="n">
        <v>138771</v>
      </c>
      <c r="B15" s="0" t="s">
        <v>206</v>
      </c>
      <c r="C15" s="24" t="n">
        <v>42</v>
      </c>
      <c r="D15" s="24" t="s">
        <v>190</v>
      </c>
    </row>
    <row r="16" customFormat="false" ht="12.8" hidden="false" customHeight="false" outlineLevel="0" collapsed="false">
      <c r="A16" s="0" t="n">
        <v>145510</v>
      </c>
      <c r="B16" s="0" t="s">
        <v>207</v>
      </c>
      <c r="C16" s="24" t="n">
        <v>49</v>
      </c>
      <c r="D16" s="24" t="s">
        <v>190</v>
      </c>
      <c r="F16" s="24" t="s">
        <v>191</v>
      </c>
    </row>
    <row r="17" customFormat="false" ht="12.8" hidden="false" customHeight="false" outlineLevel="0" collapsed="false">
      <c r="A17" s="0" t="n">
        <v>145552</v>
      </c>
      <c r="B17" s="0" t="s">
        <v>208</v>
      </c>
      <c r="C17" s="24" t="n">
        <v>42</v>
      </c>
      <c r="D17" s="24" t="s">
        <v>190</v>
      </c>
      <c r="F17" s="24" t="s">
        <v>191</v>
      </c>
    </row>
    <row r="18" customFormat="false" ht="12.8" hidden="false" customHeight="false" outlineLevel="0" collapsed="false">
      <c r="A18" s="0" t="n">
        <v>145763</v>
      </c>
      <c r="B18" s="0" t="s">
        <v>209</v>
      </c>
      <c r="C18" s="24" t="n">
        <v>49</v>
      </c>
      <c r="D18" s="24" t="s">
        <v>190</v>
      </c>
      <c r="F18" s="24" t="s">
        <v>191</v>
      </c>
    </row>
    <row r="19" customFormat="false" ht="12.8" hidden="false" customHeight="false" outlineLevel="0" collapsed="false">
      <c r="A19" s="0" t="n">
        <v>146040</v>
      </c>
      <c r="B19" s="0" t="s">
        <v>210</v>
      </c>
      <c r="C19" s="24" t="n">
        <v>42</v>
      </c>
      <c r="D19" s="24" t="s">
        <v>190</v>
      </c>
      <c r="F19" s="24" t="s">
        <v>191</v>
      </c>
    </row>
    <row r="20" customFormat="false" ht="12.8" hidden="false" customHeight="false" outlineLevel="0" collapsed="false">
      <c r="A20" s="0" t="n">
        <v>146098</v>
      </c>
      <c r="B20" s="0" t="s">
        <v>211</v>
      </c>
      <c r="C20" s="24" t="n">
        <v>34</v>
      </c>
      <c r="D20" s="24" t="s">
        <v>190</v>
      </c>
      <c r="F20" s="24" t="s">
        <v>193</v>
      </c>
    </row>
    <row r="21" customFormat="false" ht="12.8" hidden="false" customHeight="false" outlineLevel="0" collapsed="false">
      <c r="A21" s="0" t="n">
        <v>146310</v>
      </c>
      <c r="B21" s="0" t="s">
        <v>212</v>
      </c>
      <c r="C21" s="24" t="n">
        <v>34</v>
      </c>
      <c r="D21" s="24" t="s">
        <v>190</v>
      </c>
      <c r="F21" s="24" t="s">
        <v>193</v>
      </c>
    </row>
    <row r="22" customFormat="false" ht="12.8" hidden="false" customHeight="false" outlineLevel="0" collapsed="false">
      <c r="A22" s="0" t="n">
        <v>146318</v>
      </c>
      <c r="B22" s="0" t="s">
        <v>213</v>
      </c>
      <c r="C22" s="24" t="n">
        <v>42</v>
      </c>
      <c r="D22" s="24" t="s">
        <v>190</v>
      </c>
      <c r="F22" s="24" t="s">
        <v>191</v>
      </c>
    </row>
    <row r="23" customFormat="false" ht="12.8" hidden="false" customHeight="false" outlineLevel="0" collapsed="false">
      <c r="A23" s="0" t="n">
        <v>146383</v>
      </c>
      <c r="B23" s="0" t="s">
        <v>214</v>
      </c>
      <c r="C23" s="24" t="n">
        <v>42</v>
      </c>
      <c r="D23" s="24" t="s">
        <v>190</v>
      </c>
      <c r="F23" s="24" t="s">
        <v>191</v>
      </c>
    </row>
    <row r="24" customFormat="false" ht="12.8" hidden="false" customHeight="false" outlineLevel="0" collapsed="false">
      <c r="A24" s="0" t="n">
        <v>146752</v>
      </c>
      <c r="B24" s="0" t="s">
        <v>215</v>
      </c>
      <c r="C24" s="24" t="n">
        <v>42</v>
      </c>
      <c r="D24" s="24" t="s">
        <v>190</v>
      </c>
      <c r="F24" s="24" t="s">
        <v>191</v>
      </c>
    </row>
    <row r="25" customFormat="false" ht="12.8" hidden="false" customHeight="false" outlineLevel="0" collapsed="false">
      <c r="A25" s="0" t="n">
        <v>147338</v>
      </c>
      <c r="B25" s="0" t="s">
        <v>216</v>
      </c>
      <c r="C25" s="24" t="n">
        <v>42</v>
      </c>
      <c r="D25" s="24" t="s">
        <v>190</v>
      </c>
      <c r="F25" s="24" t="s">
        <v>191</v>
      </c>
    </row>
    <row r="26" customFormat="false" ht="12.8" hidden="false" customHeight="false" outlineLevel="0" collapsed="false">
      <c r="A26" s="0" t="n">
        <v>148246</v>
      </c>
      <c r="B26" s="0" t="s">
        <v>217</v>
      </c>
      <c r="C26" s="24" t="n">
        <v>42</v>
      </c>
      <c r="D26" s="24" t="s">
        <v>190</v>
      </c>
      <c r="F26" s="24" t="s">
        <v>191</v>
      </c>
    </row>
    <row r="27" customFormat="false" ht="12.8" hidden="false" customHeight="false" outlineLevel="0" collapsed="false">
      <c r="A27" s="0" t="n">
        <v>148387</v>
      </c>
      <c r="B27" s="0" t="s">
        <v>218</v>
      </c>
      <c r="C27" s="24" t="n">
        <v>42</v>
      </c>
      <c r="D27" s="24" t="s">
        <v>190</v>
      </c>
      <c r="F27" s="24" t="s">
        <v>191</v>
      </c>
    </row>
    <row r="28" customFormat="false" ht="12.8" hidden="false" customHeight="false" outlineLevel="0" collapsed="false">
      <c r="A28" s="0" t="n">
        <v>149014</v>
      </c>
      <c r="B28" s="0" t="s">
        <v>219</v>
      </c>
      <c r="C28" s="24" t="n">
        <v>34</v>
      </c>
      <c r="D28" s="24" t="s">
        <v>190</v>
      </c>
      <c r="F28" s="24" t="s">
        <v>196</v>
      </c>
    </row>
    <row r="29" customFormat="false" ht="12.8" hidden="false" customHeight="false" outlineLevel="0" collapsed="false">
      <c r="A29" s="0" t="n">
        <v>150604</v>
      </c>
      <c r="B29" s="0" t="s">
        <v>220</v>
      </c>
      <c r="C29" s="24" t="n">
        <v>42</v>
      </c>
      <c r="D29" s="24" t="s">
        <v>190</v>
      </c>
      <c r="F29" s="24" t="s">
        <v>191</v>
      </c>
    </row>
    <row r="30" customFormat="false" ht="12.8" hidden="false" customHeight="false" outlineLevel="0" collapsed="false">
      <c r="A30" s="0" t="n">
        <v>150630</v>
      </c>
      <c r="B30" s="0" t="s">
        <v>221</v>
      </c>
      <c r="C30" s="24" t="n">
        <v>42</v>
      </c>
      <c r="D30" s="24" t="s">
        <v>190</v>
      </c>
      <c r="F30" s="24" t="s">
        <v>191</v>
      </c>
    </row>
    <row r="31" customFormat="false" ht="12.8" hidden="false" customHeight="false" outlineLevel="0" collapsed="false">
      <c r="A31" s="0" t="n">
        <v>155299</v>
      </c>
      <c r="B31" s="0" t="s">
        <v>222</v>
      </c>
      <c r="C31" s="24" t="n">
        <v>42</v>
      </c>
      <c r="D31" s="24" t="s">
        <v>190</v>
      </c>
      <c r="F31" s="24" t="s">
        <v>191</v>
      </c>
    </row>
    <row r="32" customFormat="false" ht="12.8" hidden="false" customHeight="false" outlineLevel="0" collapsed="false">
      <c r="A32" s="0" t="n">
        <v>155646</v>
      </c>
      <c r="B32" s="0" t="s">
        <v>223</v>
      </c>
      <c r="C32" s="24" t="n">
        <v>34</v>
      </c>
      <c r="D32" s="24" t="s">
        <v>190</v>
      </c>
      <c r="F32" s="24" t="s">
        <v>193</v>
      </c>
    </row>
    <row r="33" customFormat="false" ht="12.8" hidden="false" customHeight="false" outlineLevel="0" collapsed="false">
      <c r="A33" s="0" t="n">
        <v>155943</v>
      </c>
      <c r="B33" s="0" t="s">
        <v>224</v>
      </c>
      <c r="C33" s="24" t="n">
        <v>42</v>
      </c>
      <c r="D33" s="24" t="s">
        <v>190</v>
      </c>
      <c r="F33" s="24" t="s">
        <v>191</v>
      </c>
    </row>
    <row r="34" customFormat="false" ht="12.8" hidden="false" customHeight="false" outlineLevel="0" collapsed="false">
      <c r="A34" s="0" t="n">
        <v>155976</v>
      </c>
      <c r="B34" s="0" t="s">
        <v>225</v>
      </c>
      <c r="C34" s="24" t="n">
        <v>42</v>
      </c>
      <c r="D34" s="24" t="s">
        <v>190</v>
      </c>
      <c r="F34" s="24" t="s">
        <v>191</v>
      </c>
    </row>
    <row r="35" customFormat="false" ht="12.8" hidden="false" customHeight="false" outlineLevel="0" collapsed="false">
      <c r="A35" s="0" t="n">
        <v>156362</v>
      </c>
      <c r="B35" s="0" t="s">
        <v>226</v>
      </c>
      <c r="C35" s="24" t="n">
        <v>34</v>
      </c>
      <c r="D35" s="24" t="s">
        <v>190</v>
      </c>
      <c r="F35" s="24" t="s">
        <v>227</v>
      </c>
    </row>
    <row r="36" customFormat="false" ht="12.8" hidden="false" customHeight="false" outlineLevel="0" collapsed="false">
      <c r="A36" s="0" t="n">
        <v>156405</v>
      </c>
      <c r="B36" s="0" t="s">
        <v>228</v>
      </c>
      <c r="C36" s="24" t="n">
        <v>42</v>
      </c>
      <c r="D36" s="24" t="s">
        <v>190</v>
      </c>
      <c r="F36" s="24" t="s">
        <v>191</v>
      </c>
    </row>
    <row r="37" customFormat="false" ht="12.8" hidden="false" customHeight="false" outlineLevel="0" collapsed="false">
      <c r="A37" s="0" t="n">
        <v>158336</v>
      </c>
      <c r="B37" s="0" t="s">
        <v>229</v>
      </c>
      <c r="C37" s="24" t="n">
        <v>34</v>
      </c>
      <c r="D37" s="24" t="s">
        <v>190</v>
      </c>
      <c r="F37" s="24" t="s">
        <v>193</v>
      </c>
    </row>
    <row r="38" customFormat="false" ht="12.8" hidden="false" customHeight="false" outlineLevel="0" collapsed="false">
      <c r="A38" s="0" t="n">
        <v>160013</v>
      </c>
      <c r="B38" s="0" t="s">
        <v>230</v>
      </c>
      <c r="C38" s="24" t="n">
        <v>34</v>
      </c>
      <c r="D38" s="24" t="s">
        <v>190</v>
      </c>
      <c r="F38" s="24" t="s">
        <v>193</v>
      </c>
    </row>
    <row r="39" customFormat="false" ht="12.8" hidden="false" customHeight="false" outlineLevel="0" collapsed="false">
      <c r="A39" s="0" t="n">
        <v>160160</v>
      </c>
      <c r="B39" s="0" t="s">
        <v>231</v>
      </c>
      <c r="C39" s="24" t="n">
        <v>42</v>
      </c>
      <c r="D39" s="24" t="s">
        <v>190</v>
      </c>
      <c r="F39" s="24" t="s">
        <v>191</v>
      </c>
    </row>
    <row r="40" customFormat="false" ht="12.8" hidden="false" customHeight="false" outlineLevel="0" collapsed="false">
      <c r="A40" s="0" t="n">
        <v>164213</v>
      </c>
      <c r="B40" s="0" t="s">
        <v>232</v>
      </c>
      <c r="C40" s="24" t="n">
        <v>34</v>
      </c>
      <c r="D40" s="24" t="s">
        <v>190</v>
      </c>
      <c r="F40" s="24" t="s">
        <v>227</v>
      </c>
    </row>
    <row r="41" customFormat="false" ht="12.8" hidden="false" customHeight="false" outlineLevel="0" collapsed="false">
      <c r="A41" s="0" t="n">
        <v>164468</v>
      </c>
      <c r="B41" s="0" t="s">
        <v>233</v>
      </c>
      <c r="C41" s="24" t="n">
        <v>42</v>
      </c>
      <c r="D41" s="24" t="s">
        <v>190</v>
      </c>
      <c r="F41" s="24" t="s">
        <v>191</v>
      </c>
    </row>
    <row r="42" customFormat="false" ht="12.8" hidden="false" customHeight="false" outlineLevel="0" collapsed="false">
      <c r="A42" s="0" t="n">
        <v>164700</v>
      </c>
      <c r="B42" s="0" t="s">
        <v>234</v>
      </c>
      <c r="C42" s="24" t="n">
        <v>42</v>
      </c>
      <c r="D42" s="24" t="s">
        <v>190</v>
      </c>
      <c r="F42" s="24" t="s">
        <v>191</v>
      </c>
    </row>
    <row r="43" customFormat="false" ht="12.8" hidden="false" customHeight="false" outlineLevel="0" collapsed="false">
      <c r="A43" s="0" t="n">
        <v>166082</v>
      </c>
      <c r="B43" s="0" t="s">
        <v>235</v>
      </c>
      <c r="C43" s="24" t="n">
        <v>34</v>
      </c>
      <c r="D43" s="24" t="s">
        <v>190</v>
      </c>
      <c r="F43" s="24" t="s">
        <v>193</v>
      </c>
    </row>
    <row r="44" customFormat="false" ht="12.8" hidden="false" customHeight="false" outlineLevel="0" collapsed="false">
      <c r="A44" s="0" t="n">
        <v>166213</v>
      </c>
      <c r="B44" s="0" t="s">
        <v>236</v>
      </c>
      <c r="C44" s="24" t="n">
        <v>42</v>
      </c>
      <c r="D44" s="24" t="s">
        <v>190</v>
      </c>
      <c r="F44" s="24" t="s">
        <v>191</v>
      </c>
    </row>
    <row r="45" customFormat="false" ht="12.8" hidden="false" customHeight="false" outlineLevel="0" collapsed="false">
      <c r="A45" s="0" t="n">
        <v>166249</v>
      </c>
      <c r="B45" s="0" t="s">
        <v>237</v>
      </c>
      <c r="C45" s="24" t="n">
        <v>42</v>
      </c>
      <c r="D45" s="24" t="s">
        <v>190</v>
      </c>
      <c r="F45" s="24" t="s">
        <v>191</v>
      </c>
    </row>
    <row r="46" customFormat="false" ht="12.8" hidden="false" customHeight="false" outlineLevel="0" collapsed="false">
      <c r="A46" s="0" t="n">
        <v>168357</v>
      </c>
      <c r="B46" s="0" t="s">
        <v>238</v>
      </c>
      <c r="C46" s="24" t="n">
        <v>42</v>
      </c>
      <c r="D46" s="24" t="s">
        <v>190</v>
      </c>
      <c r="F46" s="24" t="s">
        <v>191</v>
      </c>
    </row>
    <row r="47" customFormat="false" ht="12.8" hidden="false" customHeight="false" outlineLevel="0" collapsed="false">
      <c r="A47" s="0" t="n">
        <v>168891</v>
      </c>
      <c r="B47" s="0" t="s">
        <v>239</v>
      </c>
      <c r="C47" s="24" t="n">
        <v>42</v>
      </c>
      <c r="D47" s="24" t="s">
        <v>190</v>
      </c>
      <c r="F47" s="24" t="s">
        <v>191</v>
      </c>
    </row>
    <row r="48" customFormat="false" ht="12.8" hidden="false" customHeight="false" outlineLevel="0" collapsed="false">
      <c r="A48" s="0" t="n">
        <v>169621</v>
      </c>
      <c r="B48" s="0" t="s">
        <v>240</v>
      </c>
      <c r="C48" s="24" t="n">
        <v>42</v>
      </c>
      <c r="D48" s="24" t="s">
        <v>190</v>
      </c>
      <c r="F48" s="24" t="s">
        <v>191</v>
      </c>
    </row>
    <row r="49" customFormat="false" ht="12.8" hidden="false" customHeight="false" outlineLevel="0" collapsed="false">
      <c r="A49" s="0" t="n">
        <v>169820</v>
      </c>
      <c r="B49" s="0" t="s">
        <v>241</v>
      </c>
      <c r="C49" s="24" t="n">
        <v>42</v>
      </c>
      <c r="D49" s="24" t="s">
        <v>190</v>
      </c>
      <c r="F49" s="24" t="s">
        <v>191</v>
      </c>
    </row>
    <row r="50" customFormat="false" ht="12.8" hidden="false" customHeight="false" outlineLevel="0" collapsed="false">
      <c r="A50" s="0" t="n">
        <v>170207</v>
      </c>
      <c r="B50" s="0" t="s">
        <v>242</v>
      </c>
      <c r="C50" s="24" t="n">
        <v>42</v>
      </c>
      <c r="D50" s="24" t="s">
        <v>190</v>
      </c>
    </row>
    <row r="51" customFormat="false" ht="12.8" hidden="false" customHeight="false" outlineLevel="0" collapsed="false">
      <c r="A51" s="0" t="n">
        <v>170710</v>
      </c>
      <c r="B51" s="0" t="s">
        <v>243</v>
      </c>
      <c r="C51" s="24" t="n">
        <v>34</v>
      </c>
      <c r="D51" s="24" t="s">
        <v>190</v>
      </c>
      <c r="F51" s="24" t="s">
        <v>193</v>
      </c>
    </row>
    <row r="52" customFormat="false" ht="12.8" hidden="false" customHeight="false" outlineLevel="0" collapsed="false">
      <c r="A52" s="0" t="n">
        <v>171866</v>
      </c>
      <c r="B52" s="0" t="s">
        <v>244</v>
      </c>
      <c r="C52" s="24" t="n">
        <v>42</v>
      </c>
      <c r="D52" s="24" t="s">
        <v>190</v>
      </c>
      <c r="F52" s="24" t="s">
        <v>191</v>
      </c>
    </row>
    <row r="53" customFormat="false" ht="12.8" hidden="false" customHeight="false" outlineLevel="0" collapsed="false">
      <c r="A53" s="0" t="n">
        <v>172017</v>
      </c>
      <c r="B53" s="0" t="s">
        <v>245</v>
      </c>
      <c r="C53" s="24" t="n">
        <v>34</v>
      </c>
      <c r="D53" s="24" t="s">
        <v>190</v>
      </c>
      <c r="F53" s="24" t="s">
        <v>193</v>
      </c>
    </row>
    <row r="54" customFormat="false" ht="12.8" hidden="false" customHeight="false" outlineLevel="0" collapsed="false">
      <c r="A54" s="0" t="n">
        <v>172519</v>
      </c>
      <c r="B54" s="0" t="s">
        <v>246</v>
      </c>
      <c r="C54" s="24" t="n">
        <v>42</v>
      </c>
      <c r="D54" s="24" t="s">
        <v>190</v>
      </c>
      <c r="F54" s="24" t="s">
        <v>191</v>
      </c>
    </row>
    <row r="55" customFormat="false" ht="12.8" hidden="false" customHeight="false" outlineLevel="0" collapsed="false">
      <c r="A55" s="0" t="n">
        <v>172608</v>
      </c>
      <c r="B55" s="0" t="s">
        <v>247</v>
      </c>
      <c r="C55" s="24" t="n">
        <v>42</v>
      </c>
      <c r="D55" s="24" t="s">
        <v>190</v>
      </c>
      <c r="F55" s="24" t="s">
        <v>191</v>
      </c>
    </row>
    <row r="56" customFormat="false" ht="12.8" hidden="false" customHeight="false" outlineLevel="0" collapsed="false">
      <c r="A56" s="0" t="n">
        <v>172655</v>
      </c>
      <c r="B56" s="0" t="s">
        <v>248</v>
      </c>
      <c r="C56" s="24" t="n">
        <v>42</v>
      </c>
      <c r="D56" s="24" t="s">
        <v>190</v>
      </c>
      <c r="F56" s="24" t="s">
        <v>191</v>
      </c>
    </row>
    <row r="57" customFormat="false" ht="12.8" hidden="false" customHeight="false" outlineLevel="0" collapsed="false">
      <c r="A57" s="0" t="n">
        <v>173728</v>
      </c>
      <c r="B57" s="0" t="s">
        <v>249</v>
      </c>
      <c r="C57" s="24" t="n">
        <v>34</v>
      </c>
      <c r="D57" s="24" t="s">
        <v>190</v>
      </c>
      <c r="F57" s="24" t="s">
        <v>193</v>
      </c>
    </row>
    <row r="58" customFormat="false" ht="12.8" hidden="false" customHeight="false" outlineLevel="0" collapsed="false">
      <c r="A58" s="0" t="n">
        <v>174233</v>
      </c>
      <c r="B58" s="0" t="s">
        <v>250</v>
      </c>
      <c r="C58" s="24" t="n">
        <v>42</v>
      </c>
      <c r="D58" s="24" t="s">
        <v>190</v>
      </c>
      <c r="F58" s="24" t="s">
        <v>191</v>
      </c>
    </row>
    <row r="59" customFormat="false" ht="12.8" hidden="false" customHeight="false" outlineLevel="0" collapsed="false">
      <c r="A59" s="0" t="n">
        <v>174847</v>
      </c>
      <c r="B59" s="0" t="s">
        <v>251</v>
      </c>
      <c r="C59" s="24" t="n">
        <v>42</v>
      </c>
      <c r="D59" s="24" t="s">
        <v>190</v>
      </c>
      <c r="F59" s="24" t="s">
        <v>191</v>
      </c>
    </row>
    <row r="60" customFormat="false" ht="12.8" hidden="false" customHeight="false" outlineLevel="0" collapsed="false">
      <c r="A60" s="0" t="n">
        <v>175828</v>
      </c>
      <c r="B60" s="0" t="s">
        <v>252</v>
      </c>
      <c r="C60" s="24" t="n">
        <v>42</v>
      </c>
      <c r="D60" s="24" t="s">
        <v>190</v>
      </c>
      <c r="F60" s="24" t="s">
        <v>191</v>
      </c>
    </row>
    <row r="61" customFormat="false" ht="12.8" hidden="false" customHeight="false" outlineLevel="0" collapsed="false">
      <c r="A61" s="0" t="n">
        <v>175955</v>
      </c>
      <c r="B61" s="0" t="s">
        <v>253</v>
      </c>
      <c r="C61" s="24" t="n">
        <v>34</v>
      </c>
      <c r="D61" s="24" t="s">
        <v>190</v>
      </c>
      <c r="F61" s="24" t="s">
        <v>193</v>
      </c>
    </row>
    <row r="62" customFormat="false" ht="12.8" hidden="false" customHeight="false" outlineLevel="0" collapsed="false">
      <c r="A62" s="0" t="n">
        <v>176081</v>
      </c>
      <c r="B62" s="0" t="s">
        <v>254</v>
      </c>
      <c r="C62" s="24" t="n">
        <v>42</v>
      </c>
      <c r="D62" s="24" t="s">
        <v>190</v>
      </c>
      <c r="F62" s="24" t="s">
        <v>191</v>
      </c>
    </row>
    <row r="63" customFormat="false" ht="12.8" hidden="false" customHeight="false" outlineLevel="0" collapsed="false">
      <c r="A63" s="0" t="n">
        <v>176127</v>
      </c>
      <c r="B63" s="0" t="s">
        <v>255</v>
      </c>
      <c r="C63" s="24" t="n">
        <v>42</v>
      </c>
      <c r="D63" s="24" t="s">
        <v>190</v>
      </c>
      <c r="F63" s="24" t="s">
        <v>191</v>
      </c>
    </row>
    <row r="64" customFormat="false" ht="12.8" hidden="false" customHeight="false" outlineLevel="0" collapsed="false">
      <c r="A64" s="0" t="n">
        <v>177065</v>
      </c>
      <c r="B64" s="0" t="s">
        <v>256</v>
      </c>
      <c r="C64" s="24" t="n">
        <v>42</v>
      </c>
      <c r="D64" s="24" t="s">
        <v>190</v>
      </c>
      <c r="F64" s="24" t="s">
        <v>191</v>
      </c>
    </row>
    <row r="65" customFormat="false" ht="12.8" hidden="false" customHeight="false" outlineLevel="0" collapsed="false">
      <c r="A65" s="0" t="n">
        <v>177677</v>
      </c>
      <c r="B65" s="0" t="s">
        <v>257</v>
      </c>
      <c r="C65" s="24" t="n">
        <v>34</v>
      </c>
      <c r="D65" s="24" t="s">
        <v>190</v>
      </c>
      <c r="F65" s="24" t="s">
        <v>193</v>
      </c>
    </row>
    <row r="66" customFormat="false" ht="12.8" hidden="false" customHeight="false" outlineLevel="0" collapsed="false">
      <c r="A66" s="0" t="n">
        <v>178018</v>
      </c>
      <c r="B66" s="0" t="s">
        <v>258</v>
      </c>
      <c r="C66" s="24" t="n">
        <v>42</v>
      </c>
      <c r="D66" s="24" t="s">
        <v>190</v>
      </c>
      <c r="F66" s="24" t="s">
        <v>191</v>
      </c>
    </row>
    <row r="67" customFormat="false" ht="12.8" hidden="false" customHeight="false" outlineLevel="0" collapsed="false">
      <c r="A67" s="0" t="n">
        <v>178183</v>
      </c>
      <c r="B67" s="0" t="s">
        <v>259</v>
      </c>
      <c r="C67" s="24" t="n">
        <v>42</v>
      </c>
      <c r="D67" s="24" t="s">
        <v>190</v>
      </c>
      <c r="F67" s="24" t="s">
        <v>191</v>
      </c>
    </row>
    <row r="68" customFormat="false" ht="12.8" hidden="false" customHeight="false" outlineLevel="0" collapsed="false">
      <c r="A68" s="0" t="n">
        <v>951431</v>
      </c>
      <c r="B68" s="0" t="s">
        <v>260</v>
      </c>
      <c r="C68" s="24" t="n">
        <v>42</v>
      </c>
      <c r="D68" s="24" t="s">
        <v>190</v>
      </c>
      <c r="F68" s="24" t="s">
        <v>191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4683</TotalTime>
  <Application>LibreOffice/5.4.4.1$Linux_X86_64 LibreOffice_project/40$Build-1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2009-10-07T06:50:45Z</dcterms:created>
  <dc:creator>Maria Diniz</dc:creator>
  <dc:description/>
  <dc:language>pt</dc:language>
  <cp:lastModifiedBy/>
  <dcterms:modified xsi:type="dcterms:W3CDTF">2017-12-18T19:28:33Z</dcterms:modified>
  <cp:revision>706</cp:revision>
  <dc:subject/>
  <dc:title/>
</cp:coreProperties>
</file>